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D23DF7B-7946-44D5-9314-2AF4C1B924FD}"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78" l="1"/>
  <c r="B7" i="90" l="1"/>
  <c r="B6" i="90"/>
  <c r="B8" i="90"/>
  <c r="B5" i="90"/>
  <c r="B4" i="90"/>
  <c r="D3" i="90"/>
  <c r="B47" i="79" l="1"/>
  <c r="C47" i="79"/>
  <c r="D47" i="79"/>
  <c r="E47" i="79"/>
  <c r="F47" i="79"/>
  <c r="G47" i="79"/>
  <c r="L47" i="79" s="1"/>
  <c r="I47" i="79"/>
  <c r="J47" i="79"/>
  <c r="B48" i="79"/>
  <c r="C48" i="79"/>
  <c r="D48" i="79"/>
  <c r="E48" i="79"/>
  <c r="F48" i="79"/>
  <c r="G48" i="79"/>
  <c r="L48" i="79" s="1"/>
  <c r="I48" i="79"/>
  <c r="J48" i="79"/>
  <c r="B49" i="79"/>
  <c r="C49" i="79"/>
  <c r="D49" i="79"/>
  <c r="E49" i="79"/>
  <c r="F49" i="79"/>
  <c r="G49" i="79"/>
  <c r="L49" i="79" s="1"/>
  <c r="I49" i="79"/>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M47" i="79" s="1"/>
  <c r="AD77" i="73"/>
  <c r="K48" i="79" s="1"/>
  <c r="M48" i="79" s="1"/>
  <c r="AD78" i="73"/>
  <c r="K49" i="79" s="1"/>
  <c r="M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H47" i="79" s="1"/>
  <c r="Z77" i="73"/>
  <c r="H48" i="79" s="1"/>
  <c r="Z78" i="73"/>
  <c r="H49" i="79" s="1"/>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10" i="79" s="1"/>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3B38019A-D9DC-451F-8FDF-067B33F79B65}">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5FF0ACBB-0C90-4938-AA47-208ACE10D1B0}">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<sst xmlns="http://schemas.openxmlformats.org/spreadsheetml/2006/main" count="7738" uniqueCount="2672">
  <si>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</si>
  <si>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</si>
  <si>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</si>
  <si>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</si>
  <si>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</si>
  <si>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</si>
  <si>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</si>
  <si>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</si>
  <si>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</si>
  <si>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</si>
  <si>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</si>
  <si>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</si>
  <si>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</si>
  <si>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</si>
  <si>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</si>
  <si>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</si>
  <si>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</si>
  <si>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</si>
  <si>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</si>
  <si>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</si>
  <si>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</si>
  <si>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</si>
  <si>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</si>
  <si>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</si>
  <si>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</si>
  <si>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</si>
  <si>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</si>
  <si>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</si>
  <si>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</si>
  <si>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</si>
  <si>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</si>
  <si>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</si>
  <si>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</si>
  <si>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</si>
  <si>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</si>
  <si>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</si>
  <si>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</si>
  <si>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</si>
  <si>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</si>
  <si>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</si>
  <si>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</si>
  <si>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</si>
  <si>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</si>
  <si>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</si>
  <si>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</si>
  <si>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</si>
  <si>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</si>
  <si>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</si>
  <si>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</si>
  <si>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</si>
  <si>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</si>
  <si>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</si>
  <si>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</si>
  <si>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</si>
  <si>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</si>
  <si>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</si>
  <si>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</si>
  <si>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</si>
  <si>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</si>
  <si>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</si>
  <si>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</si>
  <si>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</si>
  <si>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</si>
  <si>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</si>
  <si>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</si>
  <si>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</si>
  <si>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</si>
  <si>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</si>
  <si>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</si>
  <si>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</si>
  <si>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</si>
  <si>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</si>
  <si>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</si>
  <si>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</si>
  <si>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</si>
  <si>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</si>
  <si>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</si>
  <si>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</si>
  <si>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</si>
  <si>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</si>
  <si>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</si>
  <si>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</si>
  <si>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</si>
  <si>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</si>
  <si>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</si>
  <si>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</si>
  <si>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</si>
  <si>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</si>
  <si>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</si>
  <si>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</si>
  <si>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</si>
  <si>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</si>
  <si>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</si>
  <si>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</si>
  <si>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</si>
  <si>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</si>
  <si>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</si>
  <si>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</si>
  <si>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</si>
  <si>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</si>
  <si>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</si>
  <si>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</si>
  <si>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</si>
  <si>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</si>
  <si>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</si>
  <si>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</si>
  <si>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</si>
  <si>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</si>
  <si>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</si>
  <si>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</si>
  <si>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</si>
  <si>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</si>
  <si>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</si>
  <si>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</si>
  <si>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</si>
  <si>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</si>
  <si>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</si>
  <si>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</si>
  <si>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</si>
  <si>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</si>
  <si>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</si>
  <si>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</si>
  <si>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</si>
  <si>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</si>
  <si>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</si>
  <si>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</si>
  <si>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</si>
  <si>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</si>
  <si>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</si>
  <si>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</si>
  <si>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</si>
  <si>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</si>
  <si>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</si>
  <si>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</si>
  <si>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</si>
  <si>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</si>
  <si>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</si>
  <si>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</si>
  <si>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</si>
  <si>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</si>
  <si>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</si>
  <si>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</si>
  <si>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</si>
  <si>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</si>
  <si>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</si>
  <si>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</si>
  <si>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</si>
  <si>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</si>
  <si>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</si>
  <si>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</si>
  <si>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</si>
  <si>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</si>
  <si>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</si>
  <si>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</si>
  <si>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</si>
  <si>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</si>
  <si>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</si>
  <si>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</si>
  <si>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</si>
  <si>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</si>
  <si>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</si>
  <si>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</si>
  <si>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</si>
  <si>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</si>
  <si>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</si>
  <si>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</si>
  <si>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</si>
  <si>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</si>
  <si>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</si>
  <si>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</si>
  <si>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</si>
  <si>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</si>
  <si>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</si>
  <si>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</si>
  <si>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</si>
  <si>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</si>
  <si>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</si>
  <si>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</si>
  <si>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</si>
  <si>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</si>
  <si>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</si>
  <si>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</si>
  <si>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</si>
  <si>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</si>
  <si>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</si>
  <si>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</si>
  <si>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</si>
  <si>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</si>
  <si>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</si>
  <si>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</si>
  <si>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</si>
  <si>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</si>
  <si>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</si>
  <si>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</si>
  <si>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</si>
  <si>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</si>
  <si>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</si>
  <si>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</si>
  <si>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</si>
  <si>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</si>
  <si>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</si>
  <si>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</si>
  <si>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</si>
  <si>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</si>
  <si>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</si>
  <si>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</si>
  <si>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</si>
  <si>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</si>
  <si>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</si>
  <si>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</si>
  <si>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</si>
  <si>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</si>
  <si>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</si>
  <si>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</si>
  <si>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</si>
  <si>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</si>
  <si>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</si>
  <si>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</si>
  <si>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</si>
  <si>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</si>
  <si>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</si>
  <si>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</si>
  <si>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</si>
  <si>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</si>
  <si>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</si>
  <si>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</si>
  <si>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</si>
  <si>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</si>
  <si>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</si>
  <si>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</si>
  <si>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</si>
  <si>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</si>
  <si>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</si>
  <si>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</si>
  <si>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</si>
  <si>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</si>
  <si>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</si>
  <si>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</si>
  <si>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</si>
  <si>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</si>
  <si>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</si>
  <si>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</si>
  <si>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</si>
  <si>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</si>
  <si>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</si>
  <si>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</si>
  <si>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</si>
  <si>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</si>
  <si>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</si>
  <si>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</si>
  <si>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</si>
  <si>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</si>
  <si>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</si>
  <si>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</si>
  <si>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</si>
  <si>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</si>
  <si>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</si>
  <si>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</si>
  <si>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</si>
  <si>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</si>
  <si>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</si>
  <si>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</si>
  <si>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</si>
  <si>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</si>
  <si>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</si>
  <si>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</si>
  <si>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</si>
  <si>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</si>
  <si>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</si>
  <si>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</si>
  <si>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</si>
  <si>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</si>
  <si>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</si>
  <si>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</si>
  <si>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</si>
  <si>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</si>
  <si>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</si>
  <si>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</si>
  <si>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</si>
  <si>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</si>
  <si>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</si>
  <si>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</si>
  <si>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</si>
  <si>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</si>
  <si>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</si>
  <si>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</si>
  <si>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</si>
  <si>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</si>
  <si>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</si>
  <si>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</si>
  <si>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</si>
  <si>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</si>
  <si>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</si>
  <si>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</si>
  <si>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</si>
  <si>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</si>
  <si>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</si>
  <si>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</si>
  <si>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</si>
  <si>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</si>
  <si>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</si>
  <si>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</si>
  <si>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</si>
  <si>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</si>
  <si>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</si>
  <si>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</si>
  <si>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</si>
  <si>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</si>
  <si>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</si>
  <si>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</si>
  <si>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</si>
  <si>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</si>
  <si>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</si>
  <si>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</si>
  <si>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</si>
  <si>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</si>
  <si>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</si>
  <si>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</si>
  <si>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</si>
  <si>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</si>
  <si>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</si>
  <si>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</si>
  <si>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</si>
  <si>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</si>
  <si>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</si>
  <si>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</si>
  <si>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</si>
  <si>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</si>
  <si>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</si>
  <si>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</si>
  <si>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</si>
  <si>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</si>
  <si>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</si>
  <si>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</si>
  <si>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</si>
  <si>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</si>
  <si>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</si>
  <si>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</si>
  <si>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</si>
  <si>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</si>
  <si>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</si>
  <si>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</si>
  <si>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</si>
  <si>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</si>
  <si>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</si>
  <si>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</si>
  <si>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</si>
  <si>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</si>
  <si>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</si>
  <si>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</si>
  <si>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</si>
  <si>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</si>
  <si>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</si>
  <si>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</si>
  <si>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</si>
  <si>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</si>
  <si>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</si>
  <si>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</si>
  <si>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</si>
  <si>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</si>
  <si>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</si>
  <si>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</si>
  <si>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</si>
  <si>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</si>
  <si>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</si>
  <si>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</si>
  <si>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</si>
  <si>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</si>
  <si>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</si>
  <si>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</si>
  <si>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</si>
  <si>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</si>
  <si>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</si>
  <si>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</si>
  <si>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</si>
  <si>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</si>
  <si>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</si>
  <si>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</si>
  <si>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</si>
  <si>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</si>
  <si>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</si>
  <si>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</si>
  <si>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</si>
  <si>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</si>
  <si>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</si>
  <si>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</si>
  <si>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</si>
  <si>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</si>
  <si>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</si>
  <si>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</si>
  <si>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</si>
  <si>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</si>
  <si>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</si>
  <si>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</si>
  <si>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</si>
  <si>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</si>
  <si>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</si>
  <si>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</si>
  <si>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</si>
  <si>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</si>
  <si>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</si>
  <si>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</si>
  <si>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</si>
  <si>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</si>
  <si>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</si>
  <si>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</si>
  <si>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</si>
  <si>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</si>
  <si>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</si>
  <si>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</si>
  <si>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</si>
  <si>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</si>
  <si>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</si>
  <si>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</si>
  <si>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</si>
  <si>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</si>
  <si>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</si>
  <si>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</si>
  <si>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</si>
  <si>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</si>
  <si>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</si>
  <si>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</si>
  <si>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</si>
  <si>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</si>
  <si>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</si>
  <si>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</si>
  <si>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</si>
  <si>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</si>
  <si>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</si>
  <si>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</si>
  <si>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</si>
  <si>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</si>
  <si>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</si>
  <si>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</si>
  <si>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</si>
  <si>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</si>
  <si>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</si>
  <si>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</si>
  <si>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</si>
  <si>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</si>
  <si>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</si>
  <si>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</si>
  <si>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</si>
  <si>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</si>
  <si>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</si>
  <si>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</si>
  <si>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</si>
  <si>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</si>
  <si>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</si>
  <si>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</si>
  <si>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</si>
  <si>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</si>
  <si>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</si>
  <si>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</si>
  <si>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</si>
  <si>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</si>
  <si>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</si>
  <si>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</si>
  <si>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</si>
  <si>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</si>
  <si>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</si>
  <si>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</si>
  <si>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</si>
  <si>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</si>
  <si>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</si>
  <si>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</si>
  <si>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</si>
  <si>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</si>
  <si>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</si>
  <si>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</si>
  <si>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</si>
  <si>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</si>
  <si>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</si>
  <si>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</si>
  <si>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</si>
  <si>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</si>
  <si>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</si>
  <si>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</si>
  <si>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</si>
  <si>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</si>
  <si>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</si>
  <si>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</si>
  <si>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</si>
  <si>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</si>
  <si>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</si>
  <si>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</si>
  <si>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</si>
  <si>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</si>
  <si>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</si>
  <si>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</si>
  <si>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</si>
  <si>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</si>
  <si>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</si>
  <si>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</si>
  <si>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</si>
  <si>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</si>
  <si>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</si>
  <si>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</si>
  <si>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</si>
  <si>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</si>
  <si>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</si>
  <si>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</si>
  <si>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</si>
  <si>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</si>
  <si>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</si>
  <si>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</si>
  <si>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</si>
  <si>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</si>
  <si>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</si>
  <si>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</si>
  <si>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</si>
  <si>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</si>
  <si>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</si>
  <si>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</si>
  <si>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</si>
  <si>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</si>
  <si>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</si>
  <si>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</si>
  <si>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</si>
  <si>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</si>
  <si>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</si>
  <si>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</si>
  <si>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</si>
  <si>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</si>
  <si>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</si>
  <si>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</si>
  <si>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</si>
  <si>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</si>
  <si>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</si>
  <si>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</si>
  <si>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</si>
  <si>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</si>
  <si>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</si>
  <si>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</si>
  <si>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</si>
  <si>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</si>
  <si>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</si>
  <si>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</si>
  <si>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</si>
  <si>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</si>
  <si>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</si>
  <si>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</si>
  <si>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</si>
  <si>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</si>
  <si>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</si>
  <si>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</si>
  <si>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</si>
  <si>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</si>
  <si>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</si>
  <si>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</si>
  <si>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</si>
  <si>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</si>
  <si>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</si>
  <si>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</si>
  <si>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</si>
  <si>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</si>
  <si>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</si>
  <si>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</si>
  <si>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</si>
  <si>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</si>
  <si>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</si>
  <si>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</si>
  <si>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</si>
  <si>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</si>
  <si>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</si>
  <si>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</si>
  <si>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</si>
  <si>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</si>
  <si>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</si>
  <si>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</si>
  <si>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</si>
  <si>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</si>
  <si>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</si>
  <si>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</si>
  <si>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</si>
  <si>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</si>
  <si>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</si>
  <si>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</si>
  <si>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</si>
  <si>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</si>
  <si>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</si>
  <si>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</si>
  <si>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</si>
  <si>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</si>
  <si>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</si>
  <si>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</si>
  <si>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</si>
  <si>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</si>
  <si>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</si>
  <si>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</si>
  <si>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</si>
  <si>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</si>
  <si>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</si>
  <si>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</si>
  <si>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</si>
  <si>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</si>
  <si>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</si>
  <si>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</si>
  <si>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</si>
  <si>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</si>
  <si>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</si>
  <si>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</si>
  <si>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</si>
  <si>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</si>
  <si>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</si>
  <si>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</si>
  <si>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</si>
  <si>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</si>
  <si>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</si>
  <si>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</si>
  <si>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</si>
  <si>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</si>
  <si>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</si>
  <si>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</si>
  <si>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</si>
  <si>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</si>
  <si>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</si>
  <si>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</si>
  <si>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</si>
  <si>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</si>
  <si>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</si>
  <si>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</si>
  <si>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</si>
  <si>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</si>
  <si>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</si>
  <si>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</si>
  <si>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</si>
  <si>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</si>
  <si>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</si>
  <si>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</si>
  <si>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</si>
  <si>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</si>
  <si>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</si>
  <si>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</si>
  <si>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</si>
  <si>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</si>
  <si>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</si>
  <si>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</si>
  <si>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</si>
  <si>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</si>
  <si>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</si>
  <si>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</si>
  <si>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</si>
  <si>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</si>
  <si>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</si>
  <si>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</si>
  <si>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</si>
  <si>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</si>
  <si>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</si>
  <si>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</si>
  <si>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</si>
  <si>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</si>
  <si>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</si>
  <si>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</si>
  <si>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</si>
  <si>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</si>
  <si>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</si>
  <si>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</si>
  <si>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</si>
  <si>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</si>
  <si>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</si>
  <si>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</si>
  <si>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</si>
  <si>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</si>
  <si>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</si>
  <si>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</si>
  <si>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</si>
  <si>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</si>
  <si>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</si>
  <si>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</si>
  <si>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</si>
  <si>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</si>
  <si>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</si>
  <si>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</si>
  <si>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</si>
  <si>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</si>
  <si>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</si>
  <si>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</si>
  <si>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</si>
  <si>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</si>
  <si>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</si>
  <si>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</si>
  <si>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</si>
  <si>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</si>
  <si>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</si>
  <si>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</si>
  <si>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</si>
  <si>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</si>
  <si>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</si>
  <si>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</si>
  <si>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</si>
  <si>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</si>
  <si>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</si>
  <si>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</si>
  <si>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</si>
  <si>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</si>
  <si>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</si>
  <si>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</si>
  <si>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</si>
  <si>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</si>
  <si>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</si>
  <si>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</si>
  <si>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</si>
  <si>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</si>
  <si>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</si>
  <si>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</si>
  <si>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</si>
  <si>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</si>
  <si>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</si>
  <si>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</si>
  <si>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</si>
  <si>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</si>
  <si>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</si>
  <si>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</si>
  <si>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</si>
  <si>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</si>
  <si>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</si>
  <si>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</si>
  <si>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</si>
  <si>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</si>
  <si>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</si>
  <si>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</si>
  <si>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</si>
  <si>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</si>
  <si>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</si>
  <si>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</si>
  <si>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</si>
  <si>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</si>
  <si>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</si>
  <si>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</si>
  <si>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</si>
  <si>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</si>
  <si>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</si>
  <si>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</si>
  <si>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</si>
  <si>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</si>
  <si>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</si>
  <si>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</si>
  <si>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</si>
  <si>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</si>
  <si>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</si>
  <si>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</si>
  <si>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</si>
  <si>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</si>
  <si>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</si>
  <si>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</si>
  <si>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</si>
  <si>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</si>
  <si>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</si>
  <si>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</si>
  <si>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</si>
  <si>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</si>
  <si>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</si>
  <si>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</si>
  <si>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</si>
  <si>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</si>
  <si>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</si>
  <si>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</si>
  <si>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</si>
  <si>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</si>
  <si>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</si>
  <si>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</si>
  <si>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</si>
  <si>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</si>
  <si>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</si>
  <si>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</si>
  <si>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</si>
  <si>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</si>
  <si>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</si>
  <si>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</si>
  <si>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</si>
  <si>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</si>
  <si>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</si>
  <si>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</si>
  <si>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</si>
  <si>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</si>
  <si>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</si>
  <si>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</si>
  <si>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</si>
  <si>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</si>
  <si>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</si>
  <si>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</si>
  <si>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</si>
  <si>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</si>
  <si>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</si>
  <si>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</si>
  <si>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</si>
  <si>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</si>
  <si>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</si>
  <si>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</si>
  <si>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</si>
  <si>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</si>
  <si>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</si>
  <si>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</si>
  <si>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</si>
  <si>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</si>
  <si>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</si>
  <si>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</si>
  <si>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</si>
  <si>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</si>
  <si>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</si>
  <si>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</si>
  <si>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</si>
  <si>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</si>
  <si>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</si>
  <si>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</si>
  <si>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</si>
  <si>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</si>
  <si>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</si>
  <si>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</si>
  <si>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</si>
  <si>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</si>
  <si>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</si>
  <si>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</si>
  <si>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</si>
  <si>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</si>
  <si>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</si>
  <si>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</si>
  <si>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</si>
  <si>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</si>
  <si>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</si>
  <si>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</si>
  <si>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</si>
  <si>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</si>
  <si>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</si>
  <si>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</si>
  <si>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</si>
  <si>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</si>
  <si>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</si>
  <si>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</si>
  <si>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</si>
  <si>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</si>
  <si>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</si>
  <si>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</si>
  <si>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</si>
  <si>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</si>
  <si>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</si>
  <si>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</si>
  <si>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</si>
  <si>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</si>
  <si>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</si>
  <si>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</si>
  <si>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</si>
  <si>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</si>
  <si>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</si>
  <si>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</si>
  <si>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</si>
  <si>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</si>
  <si>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</si>
  <si>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</si>
  <si>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</si>
  <si>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</si>
  <si>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</si>
  <si>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</si>
  <si>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</si>
  <si>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</si>
  <si>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</si>
  <si>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</si>
  <si>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</si>
  <si>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</si>
  <si>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</si>
  <si>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</si>
  <si>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</si>
  <si>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</si>
  <si>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</si>
  <si>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</si>
  <si>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</si>
  <si>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</si>
  <si>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</si>
  <si>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</si>
  <si>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</si>
  <si>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</si>
  <si>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</si>
  <si>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</si>
  <si>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</si>
  <si>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</si>
  <si>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</si>
  <si>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</si>
  <si>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</si>
  <si>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</si>
  <si>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</si>
  <si>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</si>
  <si>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</si>
  <si>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</si>
  <si>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</si>
  <si>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</si>
  <si>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</si>
  <si>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</si>
  <si>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</si>
  <si>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</si>
  <si>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</si>
  <si>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</si>
  <si>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</si>
  <si>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</si>
  <si>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</si>
  <si>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</si>
  <si>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</si>
  <si>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</si>
  <si>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</si>
  <si>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</si>
  <si>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</si>
  <si>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</si>
  <si>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</si>
  <si>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</si>
  <si>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</si>
  <si>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</si>
  <si>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</si>
  <si>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</si>
  <si>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</si>
  <si>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</si>
  <si>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</si>
  <si>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</si>
  <si>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</si>
  <si>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</si>
  <si>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</si>
  <si>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</si>
  <si>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</si>
  <si>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</si>
  <si>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</si>
  <si>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</si>
  <si>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</si>
  <si>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</si>
  <si>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</si>
  <si>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</si>
  <si>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</si>
  <si>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</si>
  <si>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</si>
  <si>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</si>
  <si>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</si>
  <si>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</si>
  <si>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</si>
  <si>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</si>
  <si>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</si>
  <si>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</si>
  <si>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</si>
  <si>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</si>
  <si>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</si>
  <si>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</si>
  <si>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</si>
  <si>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</si>
  <si>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</si>
  <si>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</si>
  <si>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</si>
  <si>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</si>
  <si>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</si>
  <si>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</si>
  <si>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</si>
  <si>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</si>
  <si>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</si>
  <si>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</si>
  <si>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</si>
  <si>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</si>
  <si>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</si>
  <si>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</si>
  <si>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</si>
  <si>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</si>
  <si>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</si>
  <si>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</si>
  <si>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</si>
  <si>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</si>
  <si>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</si>
  <si>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</si>
  <si>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</si>
  <si>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</si>
  <si>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</si>
  <si>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</si>
  <si>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</si>
  <si>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</si>
  <si>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</si>
  <si>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</si>
  <si>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</si>
  <si>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</si>
  <si>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</si>
  <si>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</si>
  <si>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</si>
  <si>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</si>
  <si>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</si>
  <si>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</si>
  <si>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</si>
  <si>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</si>
  <si>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</si>
  <si>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</si>
  <si>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</si>
  <si>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</si>
  <si>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</si>
  <si>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</si>
  <si>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</si>
  <si>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</si>
  <si>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</si>
  <si>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</si>
  <si>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</si>
  <si>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</si>
  <si>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</si>
  <si>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</si>
  <si>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</si>
  <si>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</si>
  <si>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</si>
  <si>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</si>
  <si>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</si>
  <si>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</si>
  <si>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</si>
  <si>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</si>
  <si>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</si>
  <si>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</si>
  <si>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</si>
  <si>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</si>
  <si>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</si>
  <si>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</si>
  <si>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</si>
  <si>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</si>
  <si>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</si>
  <si>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</si>
  <si>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</si>
  <si>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</si>
  <si>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</si>
  <si>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</si>
  <si>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</si>
  <si>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</si>
  <si>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</si>
  <si>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</si>
  <si>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</si>
  <si>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</si>
  <si>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</si>
  <si>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</si>
  <si>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</si>
  <si>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</si>
  <si>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</si>
  <si>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</si>
  <si>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</si>
  <si>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</si>
  <si>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</si>
  <si>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</si>
  <si>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</si>
  <si>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</si>
  <si>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</si>
  <si>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</si>
  <si>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</si>
  <si>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</si>
  <si>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</si>
  <si>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</si>
  <si>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</si>
  <si>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</si>
  <si>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</si>
  <si>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</si>
  <si>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</si>
  <si>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</si>
  <si>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</si>
  <si>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</si>
  <si>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</si>
  <si>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</si>
  <si>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</si>
  <si>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</si>
  <si>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</si>
  <si>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</si>
  <si>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</si>
  <si>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</si>
  <si>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</si>
  <si>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</si>
  <si>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</si>
  <si>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</si>
  <si>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</si>
  <si>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</si>
  <si>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</si>
  <si>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</si>
  <si>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</si>
  <si>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</si>
  <si>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</si>
  <si>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</si>
  <si>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</si>
  <si>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</si>
  <si>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</si>
  <si>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</si>
  <si>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</si>
  <si>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</si>
  <si>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</si>
  <si>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</si>
  <si>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</si>
  <si>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</si>
  <si>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</si>
  <si>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</si>
  <si>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</si>
  <si>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</si>
  <si>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</si>
  <si>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</si>
  <si>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</si>
  <si>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</si>
  <si>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</si>
  <si>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</si>
  <si>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</si>
  <si>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</si>
  <si>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</si>
  <si>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</si>
  <si>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</si>
  <si>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</si>
  <si>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</si>
  <si>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</si>
  <si>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</si>
  <si>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</si>
  <si>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</si>
  <si>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</si>
  <si>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</si>
  <si>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</si>
  <si>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</si>
  <si>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</si>
  <si>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</si>
  <si>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</si>
  <si>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</si>
  <si>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</si>
  <si>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</si>
  <si>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</si>
  <si>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</si>
  <si>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</si>
  <si>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</si>
  <si>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</si>
  <si>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</si>
  <si>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</si>
  <si>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</si>
  <si>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</si>
  <si>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</si>
  <si>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</si>
  <si>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</si>
  <si>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</si>
  <si>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</si>
  <si>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</si>
  <si>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</si>
  <si>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</si>
  <si>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</si>
  <si>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</si>
  <si>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</si>
  <si>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</si>
  <si>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</si>
  <si>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</si>
  <si>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</si>
  <si>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</si>
  <si>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</si>
  <si>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</si>
  <si>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</si>
  <si>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</si>
  <si>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</si>
  <si>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</si>
  <si>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</si>
  <si>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</si>
  <si>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</si>
  <si>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</si>
  <si>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</si>
  <si>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</si>
  <si>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</si>
  <si>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</si>
  <si>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</si>
  <si>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</si>
  <si>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</si>
  <si>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</si>
  <si>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</si>
  <si>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</si>
  <si>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</si>
  <si>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</si>
  <si>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</si>
  <si>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</si>
  <si>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</si>
  <si>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</si>
  <si>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</si>
  <si>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</si>
  <si>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</si>
  <si>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</si>
  <si>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</si>
  <si>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</si>
  <si>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</si>
  <si>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</si>
  <si>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</si>
  <si>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</si>
  <si>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</si>
  <si>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</si>
  <si>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</si>
  <si>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</si>
  <si>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</si>
  <si>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</si>
  <si>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</si>
  <si>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</si>
  <si>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</si>
  <si>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</si>
  <si>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</si>
  <si>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</si>
  <si>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</si>
  <si>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</si>
  <si>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</si>
  <si>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</si>
  <si>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</si>
  <si>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</si>
  <si>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</si>
  <si>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</si>
  <si>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</si>
  <si>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</si>
  <si>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</si>
  <si>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</si>
  <si>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</si>
  <si>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</si>
  <si>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</si>
  <si>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</si>
  <si>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</si>
  <si>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</si>
  <si>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</si>
  <si>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</si>
  <si>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</si>
  <si>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</si>
  <si>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</si>
  <si>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</si>
  <si>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</si>
  <si>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</si>
  <si>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</si>
  <si>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</si>
  <si>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</si>
  <si>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</si>
  <si>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</si>
  <si>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</si>
  <si>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</si>
  <si>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</si>
  <si>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</si>
  <si>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</si>
  <si>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</si>
  <si>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</si>
  <si>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</si>
  <si>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</si>
  <si>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</si>
  <si>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</si>
  <si>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</si>
  <si>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</si>
  <si>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</si>
  <si>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</si>
  <si>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</si>
  <si>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</si>
  <si>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</si>
  <si>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</si>
  <si>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</si>
  <si>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</si>
  <si>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</si>
  <si>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</si>
  <si>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</si>
  <si>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</si>
  <si>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</si>
  <si>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</si>
  <si>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</si>
  <si>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</si>
  <si>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</si>
  <si>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</si>
  <si>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</si>
  <si>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</si>
  <si>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</si>
  <si>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</si>
  <si>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</si>
  <si>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</si>
  <si>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</si>
  <si>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</si>
  <si>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</si>
  <si>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</si>
  <si>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</si>
  <si>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</si>
  <si>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</si>
  <si>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</si>
  <si>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</si>
  <si>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</si>
  <si>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</si>
  <si>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</si>
  <si>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</si>
  <si>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</si>
  <si>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</si>
  <si>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</si>
  <si>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</si>
  <si>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</si>
  <si>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</si>
  <si>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</si>
  <si>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</si>
  <si>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</si>
  <si>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</si>
  <si>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</si>
  <si>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</si>
  <si>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</si>
  <si>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</si>
  <si>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</si>
  <si>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</si>
  <si>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</si>
  <si>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</si>
  <si>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</si>
  <si>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</si>
  <si>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</si>
  <si>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</si>
  <si>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</si>
  <si>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</si>
  <si>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</si>
  <si>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</si>
  <si>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</si>
  <si>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</si>
  <si>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</si>
  <si>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</si>
  <si>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</si>
  <si>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</si>
  <si>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</si>
  <si>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</si>
  <si>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</si>
  <si>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</si>
  <si>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</si>
  <si>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</si>
  <si>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</si>
  <si>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</si>
  <si>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</si>
  <si>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</si>
  <si>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</si>
  <si>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</si>
  <si>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</si>
  <si>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</si>
  <si>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</si>
  <si>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</si>
  <si>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</si>
  <si>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</si>
  <si>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</si>
  <si>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</si>
  <si>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</si>
  <si>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</si>
  <si>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</si>
  <si>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</si>
  <si>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</si>
  <si>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</si>
  <si>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</si>
  <si>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</si>
  <si>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</si>
  <si>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</si>
  <si>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</si>
  <si>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</si>
  <si>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</si>
  <si>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</si>
  <si>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</si>
  <si>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</si>
  <si>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</si>
  <si>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</si>
  <si>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</si>
  <si>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</si>
  <si>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</si>
  <si>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</si>
  <si>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</si>
  <si>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</si>
  <si>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</si>
  <si>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</si>
  <si>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</si>
  <si>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</si>
  <si>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</si>
  <si>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</si>
  <si>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</si>
  <si>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</si>
  <si>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</si>
  <si>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</si>
  <si>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</si>
  <si>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</si>
  <si>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</si>
  <si>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</si>
  <si>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</si>
  <si>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</si>
  <si>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</si>
  <si>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</si>
  <si>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</si>
  <si>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</si>
  <si>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</si>
  <si>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</si>
  <si>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</si>
  <si>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</si>
  <si>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</si>
  <si>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</si>
  <si>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</si>
  <si>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</si>
  <si>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</si>
  <si>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</si>
  <si>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</si>
  <si>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</si>
  <si>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</si>
  <si>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</si>
  <si>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</si>
  <si>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</si>
  <si>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</si>
  <si>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</si>
  <si>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</si>
  <si>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</si>
  <si>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</si>
  <si>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</si>
  <si>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</si>
  <si>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</si>
  <si>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</si>
  <si>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</si>
  <si>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</si>
  <si>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</si>
  <si>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</si>
  <si>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</si>
  <si>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</si>
  <si>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</si>
  <si>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</si>
  <si>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</si>
  <si>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</si>
  <si>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</si>
  <si>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</si>
  <si>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</si>
  <si>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</si>
  <si>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</si>
  <si>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</si>
  <si>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</si>
  <si>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</si>
  <si>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</si>
  <si>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</si>
  <si>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</si>
  <si>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</si>
  <si>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</si>
  <si>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</si>
  <si>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</si>
  <si>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</si>
  <si>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</si>
  <si>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</si>
  <si>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</si>
  <si>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</si>
  <si>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</si>
  <si>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</si>
  <si>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</si>
  <si>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</si>
  <si>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</si>
  <si>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</si>
  <si>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</si>
  <si>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</si>
  <si>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</si>
  <si>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</si>
  <si>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</si>
  <si>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</si>
  <si>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</si>
  <si>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</si>
  <si>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</si>
  <si>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</si>
  <si>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</si>
  <si>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</si>
  <si>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</si>
  <si>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</si>
  <si>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</si>
  <si>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</si>
  <si>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</si>
  <si>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</si>
  <si>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</si>
  <si>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</si>
  <si>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</si>
  <si>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</si>
  <si>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</si>
  <si>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</si>
  <si>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</si>
  <si>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</si>
  <si>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</si>
  <si>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</si>
  <si>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</si>
  <si>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</si>
  <si>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</si>
  <si>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</si>
  <si>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</si>
  <si>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</si>
  <si>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</si>
  <si>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</si>
  <si>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</si>
  <si>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</si>
  <si>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</si>
  <si>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</si>
  <si>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</si>
  <si>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</si>
  <si>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</si>
  <si>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</si>
  <si>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</si>
  <si>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</si>
  <si>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</si>
  <si>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</si>
  <si>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</si>
  <si>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</si>
  <si>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</si>
  <si>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</si>
  <si>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</si>
  <si>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</si>
  <si>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</si>
  <si>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</si>
  <si>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</si>
  <si>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</si>
  <si>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</si>
  <si>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</si>
  <si>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</si>
  <si>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</si>
  <si>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</si>
  <si>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</si>
  <si>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</si>
  <si>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</si>
  <si>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</si>
  <si>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</si>
  <si>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</si>
  <si>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</si>
  <si>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</si>
  <si>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</si>
  <si>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</si>
  <si>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</si>
  <si>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</si>
  <si>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</si>
  <si>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</si>
  <si>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</si>
  <si>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</si>
  <si>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</si>
  <si>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</si>
  <si>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</si>
  <si>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</si>
  <si>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</si>
  <si>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</si>
  <si>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</si>
  <si>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</si>
  <si>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</si>
  <si>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</si>
  <si>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</si>
  <si>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</si>
  <si>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</si>
  <si>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</si>
  <si>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</si>
  <si>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</si>
  <si>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</si>
  <si>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</si>
  <si>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</si>
  <si>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</si>
  <si>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</si>
  <si>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</si>
  <si>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</si>
  <si>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</si>
  <si>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</si>
  <si>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</si>
  <si>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</si>
  <si>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</si>
  <si>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</si>
  <si>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</si>
  <si>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</si>
  <si>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</si>
  <si>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</si>
  <si>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</si>
  <si>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</si>
  <si>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</si>
  <si>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</si>
  <si>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</si>
  <si>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</si>
  <si>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</si>
  <si>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</si>
  <si>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</si>
  <si>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</si>
  <si>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</si>
  <si>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</si>
  <si>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</si>
  <si>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</si>
  <si>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</si>
  <si>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</si>
  <si>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</si>
  <si>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</si>
  <si>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</si>
  <si>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</si>
  <si>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</si>
  <si>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</si>
  <si>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</si>
  <si>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</si>
  <si>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</si>
  <si>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</si>
  <si>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</si>
  <si>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</si>
  <si>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</si>
  <si>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</si>
  <si>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</si>
  <si>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</si>
  <si>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</si>
  <si>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</si>
  <si>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</si>
  <si>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</si>
  <si>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</si>
  <si>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</si>
  <si>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</si>
  <si>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</si>
  <si>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</si>
  <si>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</si>
  <si>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</si>
  <si>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</si>
  <si>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</si>
  <si>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</si>
  <si>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</si>
  <si>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</si>
  <si>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</si>
  <si>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</si>
  <si>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</si>
  <si>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</si>
  <si>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</si>
  <si>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</si>
  <si>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</si>
  <si>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</si>
  <si>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</si>
  <si>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</si>
  <si>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</si>
  <si>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</si>
  <si>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</si>
  <si>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</si>
  <si>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</si>
  <si>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</si>
  <si>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</si>
  <si>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</si>
  <si>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</si>
  <si>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</si>
  <si>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</si>
  <si>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</si>
  <si>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</si>
  <si>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</si>
  <si>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</si>
  <si>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</si>
  <si>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</si>
  <si>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</si>
  <si>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</si>
  <si>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</si>
  <si>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</si>
  <si>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</si>
  <si>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</si>
  <si>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</si>
  <si>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</si>
  <si>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</si>
  <si>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</si>
  <si>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</si>
  <si>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</si>
  <si>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</si>
  <si>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</si>
  <si>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</si>
  <si>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</si>
  <si>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</si>
  <si>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</si>
  <si>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</si>
  <si>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</si>
  <si>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</si>
  <si>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</si>
  <si>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</si>
  <si>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</si>
  <si>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</si>
  <si>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</si>
  <si>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</si>
  <si>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</si>
  <si>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</si>
  <si>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</si>
  <si>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</si>
  <si>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</si>
  <si>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</si>
  <si>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</si>
  <si>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</si>
  <si>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</si>
  <si>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</si>
  <si>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</si>
  <si>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</si>
  <si>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</si>
  <si>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</si>
  <si>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</si>
  <si>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</si>
  <si>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</si>
  <si>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</si>
  <si>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</si>
  <si>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</si>
  <si>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</si>
  <si>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</si>
  <si>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</si>
  <si>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</si>
  <si>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</si>
  <si>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</si>
  <si>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</si>
  <si>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</si>
  <si>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</si>
  <si>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</si>
  <si>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</si>
  <si>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</si>
  <si>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</si>
  <si>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</si>
  <si>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</si>
  <si>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</si>
  <si>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</si>
  <si>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</si>
  <si>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</si>
  <si>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</si>
  <si>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</si>
  <si>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</si>
  <si>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</si>
  <si>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</si>
  <si>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</si>
  <si>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</si>
  <si>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</si>
  <si>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</si>
  <si>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</si>
  <si>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</si>
  <si>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</si>
  <si>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</si>
  <si>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</si>
  <si>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</si>
  <si>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</si>
  <si>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</si>
  <si>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</si>
  <si>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</si>
  <si>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</si>
  <si>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</si>
  <si>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</si>
  <si>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</si>
  <si>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</si>
  <si>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</si>
  <si>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</si>
  <si>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</si>
  <si>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</si>
  <si>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</si>
  <si>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</si>
  <si>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</si>
  <si>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</si>
  <si>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</si>
  <si>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</si>
  <si>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</si>
  <si>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</si>
  <si>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</si>
  <si>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</si>
  <si>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</si>
  <si>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</si>
  <si>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</si>
  <si>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</si>
  <si>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</si>
  <si>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</si>
  <si>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</si>
  <si>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</si>
  <si>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</si>
  <si>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</si>
  <si>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</si>
  <si>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</si>
  <si>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</si>
  <si>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</si>
  <si>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</si>
  <si>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</si>
  <si>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</si>
  <si>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</si>
  <si>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</si>
  <si>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</si>
  <si>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</si>
  <si>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</si>
  <si>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</si>
  <si>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</si>
  <si>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</si>
  <si>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</si>
  <si>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</si>
  <si>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</si>
  <si>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</si>
  <si>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</si>
  <si>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</si>
  <si>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</si>
  <si>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</si>
  <si>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</si>
  <si>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</si>
  <si>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</si>
  <si>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</si>
  <si>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</si>
  <si>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</si>
  <si>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</si>
  <si>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</si>
  <si>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</si>
  <si>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</si>
  <si>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</si>
  <si>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</si>
  <si>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</si>
  <si>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</si>
  <si>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</si>
  <si>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</si>
  <si>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</si>
  <si>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</si>
  <si>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</si>
  <si>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</si>
  <si>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</si>
  <si>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</si>
  <si>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</si>
  <si>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</si>
  <si>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</si>
  <si>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</si>
  <si>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</si>
  <si>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</si>
  <si>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</si>
  <si>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</si>
  <si>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</si>
  <si>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</si>
  <si>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</si>
  <si>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</si>
  <si>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</si>
  <si>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</si>
  <si>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</si>
  <si>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</si>
  <si>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</si>
  <si>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</si>
  <si>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</si>
  <si>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</si>
  <si>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</si>
  <si>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</si>
  <si>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</si>
  <si>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</si>
  <si>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</si>
  <si>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</si>
  <si>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</si>
  <si>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</si>
  <si>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</si>
  <si>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</si>
  <si>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</si>
  <si>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</si>
  <si>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</si>
  <si>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</si>
  <si>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</si>
  <si>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</si>
  <si>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</si>
  <si>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</si>
  <si>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</si>
  <si>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</si>
  <si>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</si>
  <si>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</si>
  <si>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</si>
  <si>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</si>
  <si>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</si>
  <si>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</si>
  <si>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</si>
  <si>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</si>
  <si>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</si>
  <si>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</si>
  <si>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</si>
  <si>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</si>
  <si>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</si>
  <si>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</si>
  <si>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</si>
  <si>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</si>
  <si>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</si>
  <si>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</si>
  <si>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</si>
  <si>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</si>
  <si>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</si>
  <si>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</si>
  <si>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</si>
  <si>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</si>
  <si>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</si>
  <si>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</si>
  <si>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</si>
  <si>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</si>
  <si>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</si>
  <si>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</si>
  <si>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</si>
  <si>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</si>
  <si>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</si>
  <si>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</si>
  <si>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</si>
  <si>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</si>
  <si>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</si>
  <si>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</si>
  <si>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</si>
  <si>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</si>
  <si>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</si>
  <si>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</si>
  <si>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</si>
  <si>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</si>
  <si>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</si>
  <si>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</si>
  <si>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</si>
  <si>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</si>
  <si>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</si>
  <si>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</si>
  <si>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</si>
  <si>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</si>
  <si>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</si>
  <si>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</si>
  <si>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</si>
  <si>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</si>
  <si>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</si>
  <si>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</si>
  <si>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</si>
  <si>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</si>
  <si>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</si>
  <si>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</si>
  <si>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</si>
  <si>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</si>
  <si>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</si>
  <si>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</si>
  <si>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</si>
  <si>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</si>
  <si>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</si>
  <si>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</si>
  <si>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</si>
  <si>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</si>
  <si>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</si>
  <si>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</si>
  <si>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</si>
  <si>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</si>
  <si>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</si>
  <si>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</si>
  <si>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</si>
  <si>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</si>
  <si>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</si>
  <si>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</si>
  <si>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</si>
  <si>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</si>
  <si>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</si>
  <si>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</si>
  <si>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</si>
  <si>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</si>
  <si>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</si>
  <si>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</si>
  <si>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</si>
  <si>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</si>
  <si>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</si>
  <si>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</si>
  <si>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</si>
  <si>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</si>
  <si>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</si>
  <si>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</si>
  <si>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</si>
  <si>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</si>
  <si>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</si>
  <si>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</si>
  <si>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</si>
  <si>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</si>
  <si>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</si>
  <si>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</si>
  <si>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</si>
  <si>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</si>
  <si>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</si>
  <si>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</si>
  <si>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</si>
  <si>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</si>
  <si>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</si>
  <si>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</si>
  <si>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</si>
  <si>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</si>
  <si>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</si>
  <si>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</si>
  <si>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</si>
  <si>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</si>
  <si>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</si>
  <si>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</si>
  <si>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</si>
  <si>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</si>
  <si>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</si>
  <si>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</si>
  <si>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</si>
  <si>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</si>
  <si>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</si>
  <si>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</si>
  <si>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</si>
  <si>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</si>
  <si>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</si>
  <si>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</si>
  <si>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</si>
  <si>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</si>
  <si>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</si>
  <si>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</si>
  <si>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</si>
  <si>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</si>
  <si>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</si>
  <si>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</si>
  <si>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</si>
  <si>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</si>
  <si>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</si>
  <si>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</si>
  <si>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</si>
  <si>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</si>
  <si>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</si>
  <si>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</si>
  <si>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</si>
  <si>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</si>
  <si>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</si>
  <si>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</si>
  <si>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</si>
  <si>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</si>
  <si>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</si>
  <si>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</si>
  <si>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</si>
  <si>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</si>
  <si>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</si>
  <si>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</si>
  <si>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</si>
  <si>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</si>
  <si>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</si>
  <si>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</si>
  <si>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</si>
  <si>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</si>
  <si>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</si>
  <si>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</si>
  <si>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</si>
  <si>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</si>
  <si>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</si>
  <si>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</si>
  <si>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</si>
  <si>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</si>
  <si>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</si>
  <si>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</si>
  <si>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</si>
  <si>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</si>
  <si>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</si>
  <si>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</si>
  <si>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</si>
  <si>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</si>
  <si>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</si>
  <si>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</si>
  <si>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</si>
  <si>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</si>
  <si>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</si>
  <si>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</si>
  <si>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</si>
  <si>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</si>
  <si>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</si>
  <si>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</si>
  <si>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</si>
  <si>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</si>
  <si>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</si>
  <si>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</si>
  <si>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</si>
  <si>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</si>
  <si>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</si>
  <si>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</si>
  <si>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</si>
  <si>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</si>
  <si>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</si>
  <si>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</si>
  <si>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</si>
  <si>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</si>
  <si>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</si>
  <si>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</si>
  <si>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</si>
  <si>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</si>
  <si>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</si>
  <si>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</si>
  <si>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</si>
  <si>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</si>
  <si>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</si>
  <si>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</si>
  <si>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</si>
  <si>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</si>
  <si>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</si>
  <si>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</si>
  <si>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</si>
  <si>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</si>
  <si>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</si>
  <si>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</si>
  <si>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</si>
  <si>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</si>
  <si>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</si>
  <si>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</si>
  <si>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</si>
  <si>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</si>
  <si>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</si>
  <si>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</si>
  <si>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</si>
  <si>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</si>
  <si>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</si>
  <si>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</si>
  <si>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</si>
  <si>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</si>
  <si>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</si>
  <si>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</si>
  <si>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</si>
  <si>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</si>
  <si>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</si>
  <si>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</si>
  <si>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</si>
  <si>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</si>
  <si>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</si>
  <si>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</si>
  <si>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</si>
  <si>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</si>
  <si>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</si>
  <si>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</si>
  <si>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</si>
  <si>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</si>
  <si>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</si>
  <si>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</si>
  <si>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</si>
  <si>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</si>
  <si>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</si>
  <si>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</si>
  <si>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</si>
  <si>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</si>
  <si>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</si>
  <si>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</si>
  <si>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</si>
  <si>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</si>
  <si>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</si>
  <si>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</si>
  <si>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</si>
  <si>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</si>
  <si>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</si>
  <si>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</si>
  <si>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</si>
  <si>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</si>
  <si>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</si>
  <si>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</si>
  <si>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</si>
  <si>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</si>
  <si>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</si>
  <si>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</si>
  <si>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</si>
  <si>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</si>
  <si>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</si>
  <si>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</si>
  <si>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</si>
  <si>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</si>
  <si>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</si>
  <si>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</si>
  <si>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</si>
  <si>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</si>
  <si>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</si>
  <si>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</si>
  <si>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</si>
  <si>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</si>
  <si>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</si>
  <si>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</si>
  <si>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</si>
  <si>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</si>
  <si>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</si>
  <si>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</si>
  <si>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</si>
  <si>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</si>
  <si>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</si>
  <si>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</si>
  <si>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</si>
  <si>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</si>
  <si>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</si>
  <si>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</si>
  <si>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</si>
  <si>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</si>
  <si>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</si>
  <si>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</si>
  <si>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</si>
  <si>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</si>
  <si>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</si>
  <si>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</si>
  <si>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</si>
  <si>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</si>
  <si>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</si>
  <si>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</si>
  <si>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</si>
  <si>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</si>
  <si>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</si>
  <si>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</si>
  <si>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</si>
  <si>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</si>
  <si>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</si>
  <si>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</si>
  <si>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</si>
  <si>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</si>
  <si>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</si>
  <si>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</si>
  <si>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</si>
  <si>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</si>
  <si>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</si>
  <si>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</si>
  <si>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</si>
  <si>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</si>
  <si>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</si>
  <si>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</si>
  <si>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</si>
  <si>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</si>
  <si>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</si>
  <si>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</si>
  <si>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</si>
  <si>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</si>
  <si>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</si>
  <si>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</si>
  <si>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</si>
  <si>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</si>
  <si>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</si>
  <si>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</si>
  <si>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</si>
  <si>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</si>
  <si>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</si>
  <si>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</si>
  <si>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</si>
  <si>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</si>
  <si>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</si>
  <si>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</si>
  <si>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</si>
  <si>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</si>
  <si>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</si>
  <si>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</si>
  <si>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</si>
  <si>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</si>
  <si>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</si>
  <si>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</si>
  <si>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</si>
  <si>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</si>
  <si>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</si>
  <si>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</si>
  <si>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</si>
  <si>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</si>
  <si>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</si>
  <si>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</si>
  <si>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</si>
  <si>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</si>
  <si>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</si>
  <si>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</si>
  <si>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</si>
  <si>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</si>
  <si>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</si>
  <si>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</si>
  <si>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</si>
  <si>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</si>
  <si>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</si>
  <si>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</si>
  <si>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</si>
  <si>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</si>
  <si>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</si>
  <si>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</si>
  <si>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</si>
  <si>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</si>
  <si>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</si>
  <si>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</si>
  <si>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</si>
  <si>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</si>
  <si>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</si>
  <si>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</si>
  <si>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</si>
  <si>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</si>
  <si>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</si>
  <si>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</si>
  <si>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</si>
  <si>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</si>
  <si>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</si>
  <si>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</si>
  <si>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</si>
  <si>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</si>
  <si>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</si>
  <si>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</si>
  <si>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</si>
  <si>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</si>
  <si>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</si>
  <si>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</si>
  <si>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</si>
  <si>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</si>
  <si>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</si>
  <si>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</si>
  <si>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</si>
  <si>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</si>
  <si>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</si>
  <si>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</si>
  <si>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</si>
  <si>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</si>
  <si>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</si>
  <si>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</si>
  <si>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</si>
  <si>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</si>
  <si>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</si>
  <si>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</si>
  <si>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</si>
  <si>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</si>
  <si>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</si>
  <si>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</si>
  <si>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</si>
  <si>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</si>
  <si>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</si>
  <si>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</si>
  <si>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</si>
  <si>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</si>
  <si>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</si>
  <si>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</si>
  <si>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</si>
  <si>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</si>
  <si>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</si>
  <si>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</si>
  <si>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</si>
  <si>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</si>
  <si>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</si>
  <si>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</si>
  <si>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</si>
  <si>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</si>
  <si>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</si>
  <si>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</si>
  <si>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</si>
  <si>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</si>
  <si>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</si>
  <si>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</si>
  <si>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</si>
  <si>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</si>
  <si>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</si>
  <si>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</si>
  <si>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</si>
  <si>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</si>
  <si>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</si>
  <si>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</si>
  <si>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</si>
  <si>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</si>
  <si>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</si>
  <si>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</si>
  <si>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</si>
  <si>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</si>
  <si>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</si>
  <si>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</si>
  <si>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</si>
  <si>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</si>
  <si>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</si>
  <si>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</si>
  <si>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</si>
  <si>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</si>
  <si>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</si>
  <si>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</si>
  <si>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</si>
  <si>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</si>
  <si>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</si>
  <si>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</si>
  <si>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</si>
  <si>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</si>
  <si>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</si>
  <si>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</si>
  <si>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</si>
  <si>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</si>
  <si>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</si>
  <si>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</si>
  <si>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</si>
  <si>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</si>
  <si>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</si>
  <si>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</si>
  <si>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</si>
  <si>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</si>
  <si>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</si>
  <si>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</si>
  <si>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</si>
  <si>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</si>
  <si>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</si>
  <si>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</si>
  <si>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</si>
  <si>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</si>
  <si>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</si>
  <si>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</si>
  <si>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</si>
  <si>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</si>
  <si>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</si>
  <si>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</si>
  <si>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</si>
  <si>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</si>
  <si>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</si>
  <si>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</si>
  <si>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</si>
  <si>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</si>
  <si>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</si>
  <si>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</si>
  <si>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</si>
  <si>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</si>
  <si>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</si>
  <si>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</si>
  <si>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</si>
  <si>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</si>
  <si>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</si>
  <si>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</si>
  <si>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</si>
  <si>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</si>
  <si>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</si>
  <si>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</si>
  <si>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</si>
  <si>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</si>
  <si>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</si>
  <si>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</si>
  <si>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</si>
  <si>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</si>
  <si>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</si>
  <si>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</si>
  <si>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</si>
  <si>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</si>
  <si>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</si>
  <si>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</si>
  <si>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</si>
  <si>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</si>
  <si>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</si>
  <si>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</si>
  <si>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</si>
  <si>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</si>
  <si>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</si>
  <si>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</si>
  <si>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</si>
  <si>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</si>
  <si>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</si>
  <si>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</si>
  <si>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</si>
  <si>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</si>
  <si>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</si>
  <si>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</si>
  <si>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</si>
  <si>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</si>
  <si>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</si>
  <si>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</si>
  <si>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</si>
  <si>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</si>
  <si>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</si>
  <si>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</si>
  <si>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</si>
  <si>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</si>
  <si>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</si>
  <si>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</si>
  <si>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</si>
  <si>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</si>
  <si>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</si>
  <si>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</si>
  <si>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</si>
  <si>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</si>
  <si>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</si>
  <si>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</si>
  <si>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</si>
  <si>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</si>
  <si>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</si>
  <si>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</si>
  <si>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</si>
  <si>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</si>
  <si>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</si>
  <si>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</si>
  <si>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</si>
  <si>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</si>
  <si>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</si>
  <si>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</si>
  <si>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</si>
  <si>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</si>
  <si>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</si>
  <si>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</si>
  <si>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</si>
  <si>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</si>
  <si>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</si>
  <si>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</si>
  <si>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</si>
  <si>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</si>
  <si>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</si>
  <si>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</si>
  <si>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</si>
  <si>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</si>
  <si>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</si>
  <si>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</si>
  <si>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</si>
  <si>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</si>
  <si>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</si>
  <si>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</si>
  <si>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</si>
  <si>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</si>
  <si>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</si>
  <si>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</si>
  <si>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</si>
  <si>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</si>
  <si>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</si>
  <si>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</si>
  <si>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</si>
  <si>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</si>
  <si>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</si>
  <si>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</si>
  <si>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</si>
  <si>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</si>
  <si>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</si>
  <si>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</si>
  <si>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</si>
  <si>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</si>
  <si>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</si>
  <si>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</si>
  <si>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</si>
  <si>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</si>
  <si>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</si>
  <si>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</si>
  <si>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</si>
  <si>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</si>
  <si>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</si>
  <si>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</si>
  <si>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</si>
  <si>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</si>
  <si>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</si>
  <si>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</si>
  <si>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</si>
  <si>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</si>
  <si>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</si>
  <si>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</si>
  <si>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</si>
  <si>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</si>
  <si>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</si>
  <si>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</si>
  <si>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</si>
  <si>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</si>
  <si>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</si>
  <si>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</si>
  <si>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</si>
  <si>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</si>
  <si>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</si>
  <si>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</si>
  <si>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</si>
  <si>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</si>
  <si>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</si>
  <si>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</si>
  <si>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</si>
  <si>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</si>
  <si>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</si>
  <si>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</si>
  <si>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</si>
  <si>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</si>
  <si>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</si>
  <si>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</si>
  <si>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</si>
  <si>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</si>
  <si>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</si>
  <si>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</si>
  <si>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</si>
  <si>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</si>
  <si>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</si>
  <si>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</si>
  <si>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</si>
  <si>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</si>
  <si>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</si>
  <si>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</si>
  <si>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</si>
  <si>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</si>
  <si>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</si>
  <si>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</si>
  <si>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</si>
  <si>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</si>
  <si>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</si>
  <si>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</si>
  <si>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</si>
  <si>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</si>
  <si>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</si>
  <si>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</si>
  <si>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</si>
  <si>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</si>
  <si>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</si>
  <si>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</si>
  <si>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</si>
  <si>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</si>
  <si>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</si>
  <si>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</si>
  <si>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</si>
  <si>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</si>
  <si>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</si>
  <si>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</si>
  <si>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</si>
  <si>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</si>
  <si>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</si>
  <si>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</si>
  <si>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</si>
  <si>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</si>
  <si>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</si>
  <si>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</si>
  <si>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</si>
  <si>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</si>
  <si>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</si>
  <si>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</si>
  <si>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</si>
  <si>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</si>
  <si>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</si>
  <si>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</si>
  <si>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</si>
  <si>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</si>
  <si>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</si>
  <si>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</si>
  <si>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</si>
  <si>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</si>
  <si>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</si>
  <si>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</si>
  <si>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</si>
  <si>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</si>
  <si>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</si>
  <si>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</si>
  <si>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</si>
  <si>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</si>
  <si>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</si>
  <si>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</si>
  <si>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</si>
  <si>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</si>
  <si>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</si>
  <si>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</si>
  <si>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</si>
  <si>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</si>
  <si>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</si>
  <si>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</si>
  <si>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</si>
  <si>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</si>
  <si>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</si>
  <si>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</si>
  <si>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</si>
  <si>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</si>
  <si>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</si>
  <si>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</si>
  <si>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</si>
  <si>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</si>
  <si>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</si>
  <si>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</si>
  <si>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</si>
  <si>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</si>
  <si>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</si>
  <si>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</si>
  <si>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</si>
  <si>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t>奈良県</t>
    <rPh sb="0" eb="3">
      <t>ナラケン</t>
    </rPh>
    <phoneticPr fontId="9"/>
  </si>
  <si>
    <t>1111111111</t>
  </si>
  <si>
    <t>2222222222</t>
  </si>
  <si>
    <t>3333333333</t>
  </si>
  <si>
    <t>4444444444</t>
  </si>
  <si>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</si>
  <si>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</si>
  <si>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</si>
  <si>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</si>
  <si>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</si>
  <si>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</si>
  <si>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</si>
  <si>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</si>
  <si>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</si>
  <si>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</si>
  <si>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</si>
  <si>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</si>
  <si>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</si>
  <si>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</si>
  <si>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</si>
  <si>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</si>
  <si>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</si>
  <si>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</si>
  <si>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</si>
  <si>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</si>
  <si>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</si>
  <si>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</si>
  <si>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</si>
  <si>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</si>
  <si>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</si>
  <si>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</si>
  <si>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</si>
  <si>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</si>
  <si>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</si>
  <si>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</si>
  <si>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</si>
  <si>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</si>
  <si>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</si>
  <si>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</si>
  <si>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</si>
  <si>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</si>
  <si>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</si>
  <si>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</si>
  <si>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</si>
  <si>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</si>
  <si>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</si>
  <si>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</si>
  <si>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京都府</t>
    <rPh sb="0" eb="3">
      <t>キョウトフ</t>
    </rPh>
    <phoneticPr fontId="9"/>
  </si>
  <si>
    <t>奈良市</t>
    <rPh sb="0" eb="3">
      <t>ナラシ</t>
    </rPh>
    <phoneticPr fontId="9"/>
  </si>
  <si>
    <t>大和高田市</t>
    <rPh sb="0" eb="5">
      <t>ヤマトタカダシ</t>
    </rPh>
    <phoneticPr fontId="9"/>
  </si>
  <si>
    <t>大和郡山市</t>
    <rPh sb="0" eb="5">
      <t>ヤマトコオリヤマシ</t>
    </rPh>
    <phoneticPr fontId="9"/>
  </si>
  <si>
    <t>天理市</t>
    <rPh sb="0" eb="3">
      <t>テンリシ</t>
    </rPh>
    <phoneticPr fontId="9"/>
  </si>
  <si>
    <t>橿原市</t>
    <rPh sb="0" eb="3">
      <t>カシハラシ</t>
    </rPh>
    <phoneticPr fontId="9"/>
  </si>
  <si>
    <t>桜井市</t>
    <rPh sb="0" eb="3">
      <t>サクライシ</t>
    </rPh>
    <phoneticPr fontId="9"/>
  </si>
  <si>
    <t>五條市</t>
    <rPh sb="0" eb="3">
      <t>ゴジョウシ</t>
    </rPh>
    <phoneticPr fontId="9"/>
  </si>
  <si>
    <t>御所市</t>
    <rPh sb="0" eb="3">
      <t>ゴセシ</t>
    </rPh>
    <phoneticPr fontId="9"/>
  </si>
  <si>
    <t>生駒市</t>
    <rPh sb="0" eb="3">
      <t>イコマシ</t>
    </rPh>
    <phoneticPr fontId="9"/>
  </si>
  <si>
    <t>香芝市</t>
    <rPh sb="0" eb="3">
      <t>カシバシ</t>
    </rPh>
    <phoneticPr fontId="9"/>
  </si>
  <si>
    <t>葛城市</t>
    <rPh sb="0" eb="3">
      <t>カツラギシ</t>
    </rPh>
    <phoneticPr fontId="9"/>
  </si>
  <si>
    <t>宇陀市</t>
    <rPh sb="0" eb="3">
      <t>ウダシ</t>
    </rPh>
    <phoneticPr fontId="9"/>
  </si>
  <si>
    <t>○○ホームヘルプ</t>
  </si>
  <si>
    <t>××ホームヘルプ</t>
  </si>
  <si>
    <t>△△ホームヘルプ</t>
  </si>
  <si>
    <t>■■ホームヘルプ</t>
  </si>
  <si>
    <t>◇◇ホームヘルプ</t>
  </si>
  <si>
    <t>○○定巡</t>
    <rPh sb="2" eb="4">
      <t>テイジュン</t>
    </rPh>
    <phoneticPr fontId="9"/>
  </si>
  <si>
    <t>○○訪問入浴介護</t>
    <rPh sb="2" eb="8">
      <t>ホウモンニュウヨクカイゴ</t>
    </rPh>
    <phoneticPr fontId="9"/>
  </si>
  <si>
    <t>○○デイケア</t>
  </si>
  <si>
    <t>○○リハ</t>
  </si>
  <si>
    <t>○○の杜</t>
    <rPh sb="3" eb="4">
      <t>モリ</t>
    </rPh>
    <phoneticPr fontId="9"/>
  </si>
  <si>
    <t>○○小多機</t>
    <rPh sb="2" eb="5">
      <t>ショウタキ</t>
    </rPh>
    <phoneticPr fontId="9"/>
  </si>
  <si>
    <t>○○看多機</t>
    <rPh sb="2" eb="5">
      <t>カンタキ</t>
    </rPh>
    <phoneticPr fontId="9"/>
  </si>
  <si>
    <t>○○GH</t>
  </si>
  <si>
    <t>○○施設</t>
    <rPh sb="2" eb="4">
      <t>シセツ</t>
    </rPh>
    <phoneticPr fontId="9"/>
  </si>
  <si>
    <t>短期入所療養介護（介護医療院）</t>
  </si>
  <si>
    <t>介護予防短期入所療養介護（介護医療院）</t>
  </si>
  <si>
    <t>○</t>
  </si>
  <si>
    <t>○○ケアサービス</t>
  </si>
  <si>
    <t>630</t>
    <phoneticPr fontId="9"/>
  </si>
  <si>
    <t>8501</t>
    <phoneticPr fontId="9"/>
  </si>
  <si>
    <t>奈良県奈良市１－１－１</t>
    <phoneticPr fontId="9"/>
  </si>
  <si>
    <t>○○ビル○○号室</t>
    <rPh sb="6" eb="8">
      <t>ゴウシツ</t>
    </rPh>
    <phoneticPr fontId="9"/>
  </si>
  <si>
    <t>代表取締役</t>
    <rPh sb="0" eb="5">
      <t>ダイヒョウトリシマリヤク</t>
    </rPh>
    <phoneticPr fontId="9"/>
  </si>
  <si>
    <t>厚労 花子</t>
    <rPh sb="0" eb="2">
      <t>コウロウ</t>
    </rPh>
    <rPh sb="3" eb="5">
      <t>ハナコ</t>
    </rPh>
    <phoneticPr fontId="9"/>
  </si>
  <si>
    <t>1234567891234</t>
    <phoneticPr fontId="9"/>
  </si>
  <si>
    <t>コウロウ タロウ</t>
    <phoneticPr fontId="9"/>
  </si>
  <si>
    <t>厚労 太郎</t>
    <rPh sb="0" eb="2">
      <t>コウロウ</t>
    </rPh>
    <rPh sb="3" eb="5">
      <t>タロウ</t>
    </rPh>
    <phoneticPr fontId="9"/>
  </si>
  <si>
    <t>000-0000-0000</t>
    <phoneticPr fontId="9"/>
  </si>
  <si>
    <t>aaa@aaa,com</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</si>
  <si>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</si>
  <si>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</si>
  <si>
    <t>✓</t>
  </si>
  <si>
    <t>111-1111</t>
    <phoneticPr fontId="9"/>
  </si>
  <si>
    <t>1111111</t>
    <phoneticPr fontId="9"/>
  </si>
  <si>
    <t>〇〇ｹｱｻｰﾋﾞｽ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</si>
</sst>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116754</xdr:colOff>
      <xdr:row>4</xdr:row>
      <xdr:rowOff>236546</xdr:rowOff>
    </xdr:from>
    <xdr:to>
      <xdr:col>21</xdr:col>
      <xdr:colOff>184174</xdr:colOff>
      <xdr:row>6</xdr:row>
      <xdr:rowOff>4358</xdr:rowOff>
    </xdr:to>
    <xdr:sp macro="" textlink="">
      <xdr:nvSpPr>
        <xdr:cNvPr id="107" name="矢印: 右 12">
          <a:extLst>
            <a:ext uri="{FF2B5EF4-FFF2-40B4-BE49-F238E27FC236}">
              <a16:creationId xmlns:a16="http://schemas.microsoft.com/office/drawing/2014/main" id="{00000000-0008-0000-0000-00006B000000}"/>
            </a:ext>
          </a:extLst>
        </xdr:cNvPr>
        <xdr:cNvSpPr/>
      </xdr:nvSpPr>
      <xdr:spPr bwMode="auto">
        <a:xfrm>
          <a:off x="2193204" y="4256096"/>
          <a:ext cx="267445" cy="26311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108" name="四角形: 角を丸くする 13">
          <a:extLst>
            <a:ext uri="{FF2B5EF4-FFF2-40B4-BE49-F238E27FC236}">
              <a16:creationId xmlns:a16="http://schemas.microsoft.com/office/drawing/2014/main" id="{00000000-0008-0000-0000-00006C000000}"/>
            </a:ext>
          </a:extLst>
        </xdr:cNvPr>
        <xdr:cNvSpPr/>
      </xdr:nvSpPr>
      <xdr:spPr bwMode="auto">
        <a:xfrm>
          <a:off x="133505" y="4079795"/>
          <a:ext cx="878783" cy="4863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109" name="テキスト ボックス 15">
          <a:extLst>
            <a:ext uri="{FF2B5EF4-FFF2-40B4-BE49-F238E27FC236}">
              <a16:creationId xmlns:a16="http://schemas.microsoft.com/office/drawing/2014/main" id="{00000000-0008-0000-0000-00006D000000}"/>
            </a:ext>
          </a:extLst>
        </xdr:cNvPr>
        <xdr:cNvSpPr txBox="1"/>
      </xdr:nvSpPr>
      <xdr:spPr>
        <a:xfrm>
          <a:off x="47511" y="4580755"/>
          <a:ext cx="935565"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110" name="テキスト ボックス 5">
          <a:extLst>
            <a:ext uri="{FF2B5EF4-FFF2-40B4-BE49-F238E27FC236}">
              <a16:creationId xmlns:a16="http://schemas.microsoft.com/office/drawing/2014/main" id="{00000000-0008-0000-0000-00006E000000}"/>
            </a:ext>
          </a:extLst>
        </xdr:cNvPr>
        <xdr:cNvSpPr txBox="1"/>
      </xdr:nvSpPr>
      <xdr:spPr>
        <a:xfrm>
          <a:off x="1294238" y="4037804"/>
          <a:ext cx="796866"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111" name="テキスト ボックス 6">
          <a:extLst>
            <a:ext uri="{FF2B5EF4-FFF2-40B4-BE49-F238E27FC236}">
              <a16:creationId xmlns:a16="http://schemas.microsoft.com/office/drawing/2014/main" id="{00000000-0008-0000-0000-00006F000000}"/>
            </a:ext>
          </a:extLst>
        </xdr:cNvPr>
        <xdr:cNvSpPr txBox="1"/>
      </xdr:nvSpPr>
      <xdr:spPr>
        <a:xfrm>
          <a:off x="5226288" y="4037803"/>
          <a:ext cx="82281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277536</xdr:colOff>
      <xdr:row>4</xdr:row>
      <xdr:rowOff>18253</xdr:rowOff>
    </xdr:from>
    <xdr:to>
      <xdr:col>28</xdr:col>
      <xdr:colOff>293078</xdr:colOff>
      <xdr:row>7</xdr:row>
      <xdr:rowOff>31303</xdr:rowOff>
    </xdr:to>
    <xdr:sp macro="" textlink="">
      <xdr:nvSpPr>
        <xdr:cNvPr id="114" name="テキスト ボックス 8">
          <a:extLst>
            <a:ext uri="{FF2B5EF4-FFF2-40B4-BE49-F238E27FC236}">
              <a16:creationId xmlns:a16="http://schemas.microsoft.com/office/drawing/2014/main" id="{00000000-0008-0000-0000-000072000000}"/>
            </a:ext>
          </a:extLst>
        </xdr:cNvPr>
        <xdr:cNvSpPr txBox="1"/>
      </xdr:nvSpPr>
      <xdr:spPr>
        <a:xfrm>
          <a:off x="6498094" y="4033407"/>
          <a:ext cx="843484" cy="76039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115" name="テキスト ボックス 14">
          <a:extLst>
            <a:ext uri="{FF2B5EF4-FFF2-40B4-BE49-F238E27FC236}">
              <a16:creationId xmlns:a16="http://schemas.microsoft.com/office/drawing/2014/main" id="{00000000-0008-0000-0000-000073000000}"/>
            </a:ext>
          </a:extLst>
        </xdr:cNvPr>
        <xdr:cNvSpPr txBox="1"/>
      </xdr:nvSpPr>
      <xdr:spPr>
        <a:xfrm>
          <a:off x="2546218" y="4035899"/>
          <a:ext cx="814642"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116" name="テキスト ボックス 16">
          <a:extLst>
            <a:ext uri="{FF2B5EF4-FFF2-40B4-BE49-F238E27FC236}">
              <a16:creationId xmlns:a16="http://schemas.microsoft.com/office/drawing/2014/main" id="{00000000-0008-0000-0000-000074000000}"/>
            </a:ext>
          </a:extLst>
        </xdr:cNvPr>
        <xdr:cNvSpPr txBox="1"/>
      </xdr:nvSpPr>
      <xdr:spPr>
        <a:xfrm>
          <a:off x="3750144" y="4034947"/>
          <a:ext cx="1046792"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17" name="テキスト ボックス 19">
          <a:extLst>
            <a:ext uri="{FF2B5EF4-FFF2-40B4-BE49-F238E27FC236}">
              <a16:creationId xmlns:a16="http://schemas.microsoft.com/office/drawing/2014/main" id="{00000000-0008-0000-0000-000075000000}"/>
            </a:ext>
          </a:extLst>
        </xdr:cNvPr>
        <xdr:cNvSpPr txBox="1"/>
      </xdr:nvSpPr>
      <xdr:spPr>
        <a:xfrm>
          <a:off x="5426022" y="4944929"/>
          <a:ext cx="1924295" cy="108674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118" name="矢印: 右 20">
          <a:extLst>
            <a:ext uri="{FF2B5EF4-FFF2-40B4-BE49-F238E27FC236}">
              <a16:creationId xmlns:a16="http://schemas.microsoft.com/office/drawing/2014/main" id="{00000000-0008-0000-0000-000076000000}"/>
            </a:ext>
          </a:extLst>
        </xdr:cNvPr>
        <xdr:cNvSpPr/>
      </xdr:nvSpPr>
      <xdr:spPr bwMode="auto">
        <a:xfrm>
          <a:off x="7456584" y="5354743"/>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9" name="テキスト ボックス 22">
          <a:extLst>
            <a:ext uri="{FF2B5EF4-FFF2-40B4-BE49-F238E27FC236}">
              <a16:creationId xmlns:a16="http://schemas.microsoft.com/office/drawing/2014/main" id="{00000000-0008-0000-0000-000077000000}"/>
            </a:ext>
          </a:extLst>
        </xdr:cNvPr>
        <xdr:cNvSpPr txBox="1"/>
      </xdr:nvSpPr>
      <xdr:spPr>
        <a:xfrm>
          <a:off x="7917327" y="4948739"/>
          <a:ext cx="772608" cy="10791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20" name="テキスト ボックス 24">
          <a:extLst>
            <a:ext uri="{FF2B5EF4-FFF2-40B4-BE49-F238E27FC236}">
              <a16:creationId xmlns:a16="http://schemas.microsoft.com/office/drawing/2014/main" id="{00000000-0008-0000-0000-000078000000}"/>
            </a:ext>
          </a:extLst>
        </xdr:cNvPr>
        <xdr:cNvSpPr txBox="1"/>
      </xdr:nvSpPr>
      <xdr:spPr>
        <a:xfrm>
          <a:off x="984007" y="4948739"/>
          <a:ext cx="1924783" cy="10791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21" name="テキスト ボックス 26">
          <a:extLst>
            <a:ext uri="{FF2B5EF4-FFF2-40B4-BE49-F238E27FC236}">
              <a16:creationId xmlns:a16="http://schemas.microsoft.com/office/drawing/2014/main" id="{00000000-0008-0000-0000-000079000000}"/>
            </a:ext>
          </a:extLst>
        </xdr:cNvPr>
        <xdr:cNvSpPr txBox="1"/>
      </xdr:nvSpPr>
      <xdr:spPr>
        <a:xfrm>
          <a:off x="3409835" y="4941119"/>
          <a:ext cx="800157" cy="109817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122" name="矢印: 右 12">
          <a:extLst>
            <a:ext uri="{FF2B5EF4-FFF2-40B4-BE49-F238E27FC236}">
              <a16:creationId xmlns:a16="http://schemas.microsoft.com/office/drawing/2014/main" id="{00000000-0008-0000-0000-00007A000000}"/>
            </a:ext>
          </a:extLst>
        </xdr:cNvPr>
        <xdr:cNvSpPr/>
      </xdr:nvSpPr>
      <xdr:spPr bwMode="auto">
        <a:xfrm>
          <a:off x="3445340" y="4276612"/>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123" name="矢印: 右 12">
          <a:extLst>
            <a:ext uri="{FF2B5EF4-FFF2-40B4-BE49-F238E27FC236}">
              <a16:creationId xmlns:a16="http://schemas.microsoft.com/office/drawing/2014/main" id="{00000000-0008-0000-0000-00007B000000}"/>
            </a:ext>
          </a:extLst>
        </xdr:cNvPr>
        <xdr:cNvSpPr/>
      </xdr:nvSpPr>
      <xdr:spPr bwMode="auto">
        <a:xfrm>
          <a:off x="4883532" y="4263423"/>
          <a:ext cx="263049" cy="26311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124" name="矢印: 右 12">
          <a:extLst>
            <a:ext uri="{FF2B5EF4-FFF2-40B4-BE49-F238E27FC236}">
              <a16:creationId xmlns:a16="http://schemas.microsoft.com/office/drawing/2014/main" id="{00000000-0008-0000-0000-00007C000000}"/>
            </a:ext>
          </a:extLst>
        </xdr:cNvPr>
        <xdr:cNvSpPr/>
      </xdr:nvSpPr>
      <xdr:spPr bwMode="auto">
        <a:xfrm>
          <a:off x="6133211" y="4263423"/>
          <a:ext cx="261583" cy="26311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125" name="矢印: 右 25">
          <a:extLst>
            <a:ext uri="{FF2B5EF4-FFF2-40B4-BE49-F238E27FC236}">
              <a16:creationId xmlns:a16="http://schemas.microsoft.com/office/drawing/2014/main" id="{00000000-0008-0000-0000-00007D000000}"/>
            </a:ext>
          </a:extLst>
        </xdr:cNvPr>
        <xdr:cNvSpPr/>
      </xdr:nvSpPr>
      <xdr:spPr bwMode="auto">
        <a:xfrm>
          <a:off x="3004727" y="5354393"/>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26" name="矢印: 右 125">
          <a:extLst>
            <a:ext uri="{FF2B5EF4-FFF2-40B4-BE49-F238E27FC236}">
              <a16:creationId xmlns:a16="http://schemas.microsoft.com/office/drawing/2014/main" id="{00000000-0008-0000-0000-00007E000000}"/>
            </a:ext>
          </a:extLst>
        </xdr:cNvPr>
        <xdr:cNvSpPr/>
      </xdr:nvSpPr>
      <xdr:spPr bwMode="auto">
        <a:xfrm>
          <a:off x="207202" y="5356689"/>
          <a:ext cx="637888"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232" y="4918507"/>
          <a:ext cx="1037639" cy="463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128" name="矢印: 右 127">
          <a:extLst>
            <a:ext uri="{FF2B5EF4-FFF2-40B4-BE49-F238E27FC236}">
              <a16:creationId xmlns:a16="http://schemas.microsoft.com/office/drawing/2014/main" id="{00000000-0008-0000-0000-000080000000}"/>
            </a:ext>
          </a:extLst>
        </xdr:cNvPr>
        <xdr:cNvSpPr/>
      </xdr:nvSpPr>
      <xdr:spPr bwMode="auto">
        <a:xfrm>
          <a:off x="4423172" y="5356832"/>
          <a:ext cx="762853"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266071" y="4936361"/>
          <a:ext cx="1085222" cy="427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432289</xdr:colOff>
      <xdr:row>5</xdr:row>
      <xdr:rowOff>7327</xdr:rowOff>
    </xdr:from>
    <xdr:to>
      <xdr:col>28</xdr:col>
      <xdr:colOff>697536</xdr:colOff>
      <xdr:row>6</xdr:row>
      <xdr:rowOff>24254</xdr:rowOff>
    </xdr:to>
    <xdr:sp macro="" textlink="">
      <xdr:nvSpPr>
        <xdr:cNvPr id="130" name="矢印: 右 12">
          <a:extLst>
            <a:ext uri="{FF2B5EF4-FFF2-40B4-BE49-F238E27FC236}">
              <a16:creationId xmlns:a16="http://schemas.microsoft.com/office/drawing/2014/main" id="{00000000-0008-0000-0000-000082000000}"/>
            </a:ext>
          </a:extLst>
        </xdr:cNvPr>
        <xdr:cNvSpPr/>
      </xdr:nvSpPr>
      <xdr:spPr bwMode="auto">
        <a:xfrm>
          <a:off x="7480789"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131" name="テキスト ボックス 16">
          <a:extLst>
            <a:ext uri="{FF2B5EF4-FFF2-40B4-BE49-F238E27FC236}">
              <a16:creationId xmlns:a16="http://schemas.microsoft.com/office/drawing/2014/main" id="{00000000-0008-0000-0000-000083000000}"/>
            </a:ext>
          </a:extLst>
        </xdr:cNvPr>
        <xdr:cNvSpPr txBox="1"/>
      </xdr:nvSpPr>
      <xdr:spPr>
        <a:xfrm>
          <a:off x="7858125" y="4019550"/>
          <a:ext cx="1044594"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946708"/>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816718"/>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946708"/>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23308"/>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23308"/>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33666" y="2964010"/>
          <a:ext cx="1249267"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57554" y="2939656"/>
          <a:ext cx="3336531"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25476" y="2940420"/>
          <a:ext cx="1543664"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52409"/>
              <a:ext cx="147125" cy="36077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545800"/>
              <a:ext cx="147125" cy="269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48599"/>
              <a:ext cx="150935" cy="36077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545800"/>
              <a:ext cx="150935" cy="26963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84700"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177800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8491854" y="379730"/>
          <a:ext cx="11307446" cy="250190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15241</xdr:colOff>
      <xdr:row>0</xdr:row>
      <xdr:rowOff>236222</xdr:rowOff>
    </xdr:from>
    <xdr:to>
      <xdr:col>29</xdr:col>
      <xdr:colOff>777240</xdr:colOff>
      <xdr:row>8</xdr:row>
      <xdr:rowOff>83434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35161" y="236222"/>
          <a:ext cx="2712719" cy="35886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59"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0" customFormat="1" ht="43.95"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21"/>
      <c r="AM1" s="222" t="s">
        <v>1</v>
      </c>
    </row>
    <row r="2" spans="1:39" s="220" customFormat="1" ht="28.95"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23"/>
    </row>
    <row r="3" spans="1:39" s="225" customFormat="1" ht="87" customHeight="1">
      <c r="A3" s="777" t="s">
        <v>2666</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24"/>
    </row>
    <row r="4" spans="1:39" s="220" customFormat="1" ht="157.94999999999999" customHeight="1">
      <c r="A4" s="793" t="s">
        <v>2667</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00000000000001"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5"/>
      <c r="AB5" s="65"/>
      <c r="AC5" s="65"/>
      <c r="AD5" s="65"/>
      <c r="AF5"/>
    </row>
    <row r="6" spans="1:39" ht="20.100000000000001"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5"/>
      <c r="AB6" s="65"/>
      <c r="AC6" s="65"/>
      <c r="AD6" s="65"/>
      <c r="AF6"/>
    </row>
    <row r="7" spans="1:39" ht="19.95"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5"/>
      <c r="AB7" s="65"/>
      <c r="AC7" s="65"/>
      <c r="AD7" s="65"/>
      <c r="AF7"/>
    </row>
    <row r="8" spans="1:39" ht="16.95"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23"/>
    </row>
    <row r="9" spans="1:39" ht="17.399999999999999"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65"/>
      <c r="AA9" s="65"/>
      <c r="AB9" s="65"/>
      <c r="AC9" s="65"/>
      <c r="AD9" s="65"/>
      <c r="AF9"/>
    </row>
    <row r="10" spans="1:39"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65"/>
      <c r="AB10" s="65"/>
      <c r="AC10" s="65"/>
      <c r="AD10" s="65"/>
      <c r="AF10"/>
    </row>
    <row r="11" spans="1:39" ht="45.6" customHeight="1">
      <c r="A11" s="216"/>
      <c r="B11" s="216"/>
      <c r="D11" s="216"/>
      <c r="F11" s="216"/>
      <c r="G11" s="216"/>
      <c r="H11" s="216"/>
      <c r="I11" s="216"/>
      <c r="J11" s="216"/>
      <c r="K11" s="216"/>
      <c r="L11" s="216"/>
      <c r="M11" s="216"/>
      <c r="N11" s="216"/>
      <c r="O11" s="216"/>
      <c r="P11" s="216"/>
      <c r="Q11" s="216"/>
      <c r="R11" s="216"/>
      <c r="S11" s="216"/>
      <c r="T11" s="216"/>
      <c r="U11" s="216"/>
      <c r="V11" s="216"/>
      <c r="W11" s="216"/>
      <c r="X11" s="216"/>
      <c r="Y11" s="216"/>
      <c r="AA11" s="65"/>
      <c r="AB11" s="227"/>
      <c r="AC11" s="65"/>
      <c r="AD11" s="65"/>
      <c r="AF11"/>
    </row>
    <row r="12" spans="1:39" ht="20.100000000000001" customHeight="1">
      <c r="A12" s="219" t="s">
        <v>3</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C12" s="227"/>
      <c r="AD12" s="227"/>
      <c r="AF12"/>
    </row>
    <row r="13" spans="1:39" ht="6" customHeight="1">
      <c r="A13" s="228"/>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7"/>
      <c r="AD13" s="227"/>
      <c r="AF13"/>
    </row>
    <row r="14" spans="1:39" ht="18.600000000000001" customHeight="1">
      <c r="A14" s="778" t="s">
        <v>4</v>
      </c>
      <c r="B14" s="778"/>
      <c r="C14" s="778"/>
      <c r="D14" s="778"/>
      <c r="E14" s="778"/>
      <c r="F14" s="778"/>
      <c r="G14" s="778"/>
      <c r="H14" s="778"/>
      <c r="I14" s="778"/>
      <c r="J14" s="778"/>
      <c r="K14" s="778"/>
      <c r="L14" s="778"/>
      <c r="M14" s="778"/>
      <c r="N14" s="778"/>
      <c r="O14" s="778"/>
      <c r="P14" s="778"/>
      <c r="Q14" s="778"/>
      <c r="R14" s="778"/>
      <c r="S14" s="778"/>
      <c r="T14" s="778"/>
      <c r="U14" s="778"/>
      <c r="V14" s="781"/>
      <c r="W14" s="782"/>
      <c r="X14" s="782"/>
      <c r="Y14" s="782"/>
      <c r="Z14" s="783"/>
      <c r="AF14"/>
      <c r="AG14" s="229"/>
      <c r="AH14" s="230"/>
    </row>
    <row r="15" spans="1:39" ht="38.4" customHeight="1">
      <c r="A15" s="784" t="s">
        <v>5</v>
      </c>
      <c r="B15" s="785"/>
      <c r="C15" s="785"/>
      <c r="D15" s="785"/>
      <c r="E15" s="785"/>
      <c r="F15" s="785"/>
      <c r="G15" s="785"/>
      <c r="H15" s="785"/>
      <c r="I15" s="785"/>
      <c r="J15" s="785"/>
      <c r="K15" s="785"/>
      <c r="L15" s="785"/>
      <c r="M15" s="785"/>
      <c r="N15" s="785"/>
      <c r="O15" s="785"/>
      <c r="P15" s="785"/>
      <c r="Q15" s="785"/>
      <c r="R15" s="785"/>
      <c r="S15" s="785"/>
      <c r="T15" s="785"/>
      <c r="U15" s="786"/>
      <c r="V15" s="779" t="s">
        <v>6</v>
      </c>
      <c r="W15" s="780"/>
      <c r="X15" s="780"/>
      <c r="Y15" s="780"/>
      <c r="Z15" s="780"/>
      <c r="AA15" s="780" t="s">
        <v>7</v>
      </c>
      <c r="AB15" s="780"/>
      <c r="AC15" s="780"/>
      <c r="AD15" s="780"/>
      <c r="AE15" s="780"/>
      <c r="AF15" s="231"/>
      <c r="AG15" s="229"/>
      <c r="AH15" s="230"/>
    </row>
    <row r="16" spans="1:39" ht="22.95" customHeight="1">
      <c r="A16" s="787"/>
      <c r="B16" s="788"/>
      <c r="C16" s="788"/>
      <c r="D16" s="788"/>
      <c r="E16" s="788"/>
      <c r="F16" s="788"/>
      <c r="G16" s="788"/>
      <c r="H16" s="788"/>
      <c r="I16" s="788"/>
      <c r="J16" s="788"/>
      <c r="K16" s="788"/>
      <c r="L16" s="788"/>
      <c r="M16" s="788"/>
      <c r="N16" s="788"/>
      <c r="O16" s="788"/>
      <c r="P16" s="788"/>
      <c r="Q16" s="788"/>
      <c r="R16" s="788"/>
      <c r="S16" s="788"/>
      <c r="T16" s="788"/>
      <c r="U16" s="789"/>
      <c r="V16" s="801" t="s">
        <v>2577</v>
      </c>
      <c r="W16" s="801"/>
      <c r="X16" s="801"/>
      <c r="Y16" s="801"/>
      <c r="Z16" s="801"/>
      <c r="AA16" s="801" t="s">
        <v>2536</v>
      </c>
      <c r="AB16" s="801"/>
      <c r="AC16" s="801"/>
      <c r="AD16" s="801"/>
      <c r="AE16" s="801"/>
      <c r="AF16" s="232"/>
      <c r="AG16" s="62"/>
    </row>
    <row r="17" spans="1:39" ht="12" customHeight="1">
      <c r="A17" s="791" t="s">
        <v>9</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33"/>
    </row>
    <row r="18" spans="1:39" ht="57.6"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33"/>
    </row>
    <row r="19" spans="1:39" s="220" customFormat="1" ht="20.100000000000001" customHeight="1">
      <c r="A19" s="219" t="s">
        <v>10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65"/>
      <c r="AB19" s="65"/>
      <c r="AC19" s="65"/>
      <c r="AD19" s="65"/>
    </row>
    <row r="20" spans="1:39" s="220" customFormat="1" ht="15.6" customHeight="1">
      <c r="A20" s="811" t="s">
        <v>11</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5"/>
      <c r="AC20" s="65"/>
      <c r="AD20" s="65"/>
    </row>
    <row r="21" spans="1:39" ht="20.100000000000001" customHeight="1">
      <c r="A21" s="815" t="s">
        <v>12</v>
      </c>
      <c r="B21" s="773" t="s">
        <v>13</v>
      </c>
      <c r="C21" s="773"/>
      <c r="D21" s="773"/>
      <c r="E21" s="773"/>
      <c r="F21" s="773"/>
      <c r="G21" s="773"/>
      <c r="H21" s="773"/>
      <c r="I21" s="773"/>
      <c r="J21" s="773"/>
      <c r="K21" s="773"/>
      <c r="L21" s="766" t="s">
        <v>2654</v>
      </c>
      <c r="M21" s="767"/>
      <c r="N21" s="767"/>
      <c r="O21" s="767"/>
      <c r="P21" s="767"/>
      <c r="Q21" s="767"/>
      <c r="R21" s="767"/>
      <c r="S21" s="767"/>
      <c r="T21" s="767"/>
      <c r="U21" s="767"/>
      <c r="V21" s="767"/>
      <c r="W21" s="767"/>
      <c r="X21" s="767"/>
      <c r="Y21" s="767"/>
      <c r="Z21" s="767"/>
      <c r="AA21" s="767"/>
      <c r="AB21" s="767"/>
      <c r="AC21" s="767"/>
      <c r="AD21" s="768"/>
      <c r="AF21"/>
    </row>
    <row r="22" spans="1:39" ht="20.100000000000001" customHeight="1">
      <c r="A22" s="816"/>
      <c r="B22" s="773" t="s">
        <v>14</v>
      </c>
      <c r="C22" s="773"/>
      <c r="D22" s="773"/>
      <c r="E22" s="773"/>
      <c r="F22" s="773"/>
      <c r="G22" s="773"/>
      <c r="H22" s="773"/>
      <c r="I22" s="773"/>
      <c r="J22" s="773"/>
      <c r="K22" s="773"/>
      <c r="L22" s="766" t="s">
        <v>2654</v>
      </c>
      <c r="M22" s="767"/>
      <c r="N22" s="767"/>
      <c r="O22" s="767"/>
      <c r="P22" s="767"/>
      <c r="Q22" s="767"/>
      <c r="R22" s="767"/>
      <c r="S22" s="767"/>
      <c r="T22" s="767"/>
      <c r="U22" s="767"/>
      <c r="V22" s="767"/>
      <c r="W22" s="767"/>
      <c r="X22" s="767"/>
      <c r="Y22" s="767"/>
      <c r="Z22" s="767"/>
      <c r="AA22" s="767"/>
      <c r="AB22" s="767"/>
      <c r="AC22" s="767"/>
      <c r="AD22" s="768"/>
      <c r="AF22"/>
    </row>
    <row r="23" spans="1:39" ht="20.100000000000001" customHeight="1">
      <c r="A23" s="724" t="s">
        <v>15</v>
      </c>
      <c r="B23" s="773" t="s">
        <v>16</v>
      </c>
      <c r="C23" s="773"/>
      <c r="D23" s="773"/>
      <c r="E23" s="773"/>
      <c r="F23" s="773"/>
      <c r="G23" s="773"/>
      <c r="H23" s="773"/>
      <c r="I23" s="773"/>
      <c r="J23" s="773"/>
      <c r="K23" s="773"/>
      <c r="L23" s="794" t="s">
        <v>2655</v>
      </c>
      <c r="M23" s="795"/>
      <c r="N23" s="795"/>
      <c r="O23" s="796"/>
      <c r="P23" s="683" t="s">
        <v>17</v>
      </c>
      <c r="Q23" s="797" t="s">
        <v>2656</v>
      </c>
      <c r="R23" s="798"/>
      <c r="S23" s="798"/>
      <c r="T23" s="798"/>
      <c r="U23" s="799"/>
      <c r="V23" s="216"/>
      <c r="W23" s="216"/>
      <c r="X23" s="216"/>
      <c r="Y23" s="216"/>
      <c r="Z23" s="216"/>
      <c r="AA23" s="65"/>
      <c r="AB23" s="65"/>
      <c r="AC23" s="65"/>
      <c r="AD23" s="65"/>
      <c r="AF23"/>
      <c r="AH23" s="617"/>
      <c r="AM23" s="234" t="s">
        <v>18</v>
      </c>
    </row>
    <row r="24" spans="1:39" ht="44.25" customHeight="1">
      <c r="A24" s="817"/>
      <c r="B24" s="818" t="s">
        <v>19</v>
      </c>
      <c r="C24" s="818"/>
      <c r="D24" s="818"/>
      <c r="E24" s="818"/>
      <c r="F24" s="818"/>
      <c r="G24" s="818"/>
      <c r="H24" s="818"/>
      <c r="I24" s="818"/>
      <c r="J24" s="818"/>
      <c r="K24" s="818"/>
      <c r="L24" s="766" t="s">
        <v>2657</v>
      </c>
      <c r="M24" s="767"/>
      <c r="N24" s="767"/>
      <c r="O24" s="767"/>
      <c r="P24" s="767"/>
      <c r="Q24" s="767"/>
      <c r="R24" s="767"/>
      <c r="S24" s="767"/>
      <c r="T24" s="767"/>
      <c r="U24" s="767"/>
      <c r="V24" s="767"/>
      <c r="W24" s="767"/>
      <c r="X24" s="767"/>
      <c r="Y24" s="767"/>
      <c r="Z24" s="767"/>
      <c r="AA24" s="767"/>
      <c r="AB24" s="767"/>
      <c r="AC24" s="767"/>
      <c r="AD24" s="768"/>
      <c r="AF24"/>
      <c r="AM24" s="234" t="str">
        <f>L23&amp;"-"&amp;Q23</f>
        <v>630-8501</v>
      </c>
    </row>
    <row r="25" spans="1:39" ht="38.25" customHeight="1">
      <c r="A25" s="725"/>
      <c r="B25" s="818" t="s">
        <v>20</v>
      </c>
      <c r="C25" s="818"/>
      <c r="D25" s="818"/>
      <c r="E25" s="818"/>
      <c r="F25" s="818"/>
      <c r="G25" s="818"/>
      <c r="H25" s="818"/>
      <c r="I25" s="818"/>
      <c r="J25" s="818"/>
      <c r="K25" s="818"/>
      <c r="L25" s="769" t="s">
        <v>2658</v>
      </c>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21</v>
      </c>
      <c r="B26" s="772" t="s">
        <v>22</v>
      </c>
      <c r="C26" s="773"/>
      <c r="D26" s="773"/>
      <c r="E26" s="773"/>
      <c r="F26" s="773"/>
      <c r="G26" s="773"/>
      <c r="H26" s="773"/>
      <c r="I26" s="773"/>
      <c r="J26" s="773"/>
      <c r="K26" s="773"/>
      <c r="L26" s="774" t="s">
        <v>2659</v>
      </c>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23</v>
      </c>
      <c r="C27" s="804"/>
      <c r="D27" s="804"/>
      <c r="E27" s="804"/>
      <c r="F27" s="804"/>
      <c r="G27" s="804"/>
      <c r="H27" s="804"/>
      <c r="I27" s="804"/>
      <c r="J27" s="804"/>
      <c r="K27" s="772"/>
      <c r="L27" s="774" t="s">
        <v>2660</v>
      </c>
      <c r="M27" s="775"/>
      <c r="N27" s="775"/>
      <c r="O27" s="775"/>
      <c r="P27" s="775"/>
      <c r="Q27" s="775"/>
      <c r="R27" s="775"/>
      <c r="S27" s="775"/>
      <c r="T27" s="775"/>
      <c r="U27" s="775"/>
      <c r="V27" s="775"/>
      <c r="W27" s="775"/>
      <c r="X27" s="775"/>
      <c r="Y27" s="775"/>
      <c r="Z27" s="775"/>
      <c r="AA27" s="775"/>
      <c r="AB27" s="775"/>
      <c r="AC27" s="775"/>
      <c r="AD27" s="776"/>
      <c r="AF27"/>
    </row>
    <row r="28" spans="1:39" ht="20.100000000000001" customHeight="1">
      <c r="A28" s="812" t="s">
        <v>24</v>
      </c>
      <c r="B28" s="813"/>
      <c r="C28" s="813"/>
      <c r="D28" s="813"/>
      <c r="E28" s="813"/>
      <c r="F28" s="813"/>
      <c r="G28" s="813"/>
      <c r="H28" s="813"/>
      <c r="I28" s="813"/>
      <c r="J28" s="813"/>
      <c r="K28" s="814"/>
      <c r="L28" s="759" t="s">
        <v>2661</v>
      </c>
      <c r="M28" s="760"/>
      <c r="N28" s="760"/>
      <c r="O28" s="760"/>
      <c r="P28" s="760"/>
      <c r="Q28" s="760"/>
      <c r="R28" s="760"/>
      <c r="S28" s="760"/>
      <c r="T28" s="760"/>
      <c r="U28" s="760"/>
      <c r="V28" s="761"/>
      <c r="W28" s="217"/>
      <c r="X28" s="217"/>
      <c r="Y28" s="217"/>
      <c r="Z28" s="217"/>
      <c r="AA28" s="218"/>
      <c r="AB28" s="218"/>
      <c r="AC28" s="218"/>
      <c r="AD28" s="218"/>
      <c r="AF28"/>
      <c r="AG28" s="28"/>
    </row>
    <row r="29" spans="1:39" ht="20.100000000000001" customHeight="1">
      <c r="A29" s="802" t="s">
        <v>25</v>
      </c>
      <c r="B29" s="773" t="s">
        <v>13</v>
      </c>
      <c r="C29" s="773"/>
      <c r="D29" s="773"/>
      <c r="E29" s="773"/>
      <c r="F29" s="773"/>
      <c r="G29" s="773"/>
      <c r="H29" s="773"/>
      <c r="I29" s="773"/>
      <c r="J29" s="773"/>
      <c r="K29" s="773"/>
      <c r="L29" s="774" t="s">
        <v>2662</v>
      </c>
      <c r="M29" s="775"/>
      <c r="N29" s="775"/>
      <c r="O29" s="775"/>
      <c r="P29" s="775"/>
      <c r="Q29" s="775"/>
      <c r="R29" s="775"/>
      <c r="S29" s="775"/>
      <c r="T29" s="775"/>
      <c r="U29" s="775"/>
      <c r="V29" s="775"/>
      <c r="W29" s="775"/>
      <c r="X29" s="776"/>
      <c r="Y29" s="217"/>
      <c r="Z29" s="217"/>
      <c r="AA29" s="218"/>
      <c r="AB29" s="218"/>
      <c r="AC29" s="218"/>
      <c r="AD29" s="218"/>
      <c r="AF29"/>
    </row>
    <row r="30" spans="1:39" ht="20.100000000000001" customHeight="1">
      <c r="A30" s="803"/>
      <c r="B30" s="810" t="s">
        <v>23</v>
      </c>
      <c r="C30" s="810"/>
      <c r="D30" s="810"/>
      <c r="E30" s="810"/>
      <c r="F30" s="810"/>
      <c r="G30" s="810"/>
      <c r="H30" s="810"/>
      <c r="I30" s="810"/>
      <c r="J30" s="810"/>
      <c r="K30" s="810"/>
      <c r="L30" s="774" t="s">
        <v>2663</v>
      </c>
      <c r="M30" s="775"/>
      <c r="N30" s="775"/>
      <c r="O30" s="775"/>
      <c r="P30" s="775"/>
      <c r="Q30" s="775"/>
      <c r="R30" s="775"/>
      <c r="S30" s="775"/>
      <c r="T30" s="775"/>
      <c r="U30" s="775"/>
      <c r="V30" s="775"/>
      <c r="W30" s="775"/>
      <c r="X30" s="776"/>
      <c r="Y30" s="217"/>
      <c r="Z30" s="217"/>
      <c r="AA30" s="218"/>
      <c r="AB30" s="218"/>
      <c r="AC30" s="218"/>
      <c r="AD30" s="218"/>
      <c r="AF30"/>
    </row>
    <row r="31" spans="1:39" ht="20.100000000000001" customHeight="1">
      <c r="A31" s="724" t="s">
        <v>26</v>
      </c>
      <c r="B31" s="773" t="s">
        <v>27</v>
      </c>
      <c r="C31" s="773"/>
      <c r="D31" s="773"/>
      <c r="E31" s="773"/>
      <c r="F31" s="773"/>
      <c r="G31" s="773"/>
      <c r="H31" s="773"/>
      <c r="I31" s="773"/>
      <c r="J31" s="773"/>
      <c r="K31" s="773"/>
      <c r="L31" s="774" t="s">
        <v>2664</v>
      </c>
      <c r="M31" s="775"/>
      <c r="N31" s="775"/>
      <c r="O31" s="775"/>
      <c r="P31" s="775"/>
      <c r="Q31" s="775"/>
      <c r="R31" s="775"/>
      <c r="S31" s="775"/>
      <c r="T31" s="775"/>
      <c r="U31" s="775"/>
      <c r="V31" s="775"/>
      <c r="W31" s="775"/>
      <c r="X31" s="776"/>
      <c r="Y31" s="217"/>
      <c r="Z31" s="217"/>
      <c r="AA31" s="218"/>
      <c r="AB31" s="218"/>
      <c r="AC31" s="218"/>
      <c r="AD31" s="218"/>
      <c r="AF31"/>
    </row>
    <row r="32" spans="1:39" ht="20.100000000000001" customHeight="1">
      <c r="A32" s="725"/>
      <c r="B32" s="773" t="s">
        <v>28</v>
      </c>
      <c r="C32" s="773"/>
      <c r="D32" s="773"/>
      <c r="E32" s="773"/>
      <c r="F32" s="773"/>
      <c r="G32" s="773"/>
      <c r="H32" s="773"/>
      <c r="I32" s="773"/>
      <c r="J32" s="773"/>
      <c r="K32" s="773"/>
      <c r="L32" s="807" t="s">
        <v>2665</v>
      </c>
      <c r="M32" s="808"/>
      <c r="N32" s="808"/>
      <c r="O32" s="808"/>
      <c r="P32" s="808"/>
      <c r="Q32" s="808"/>
      <c r="R32" s="808"/>
      <c r="S32" s="808"/>
      <c r="T32" s="808"/>
      <c r="U32" s="808"/>
      <c r="V32" s="808"/>
      <c r="W32" s="808"/>
      <c r="X32" s="809"/>
      <c r="Y32" s="217"/>
      <c r="Z32" s="217"/>
      <c r="AA32" s="218"/>
      <c r="AB32" s="218"/>
      <c r="AC32" s="218"/>
      <c r="AD32" s="218"/>
      <c r="AF32"/>
    </row>
    <row r="33" spans="1:46" s="220" customFormat="1" ht="20.100000000000001" customHeight="1">
      <c r="A33" s="219" t="s">
        <v>29</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65"/>
      <c r="AB33" s="65"/>
      <c r="AC33" s="65"/>
      <c r="AD33" s="65"/>
    </row>
    <row r="34" spans="1:46" s="220" customFormat="1" ht="20.100000000000001" customHeight="1">
      <c r="A34" s="235" t="s">
        <v>30</v>
      </c>
      <c r="B34" s="216"/>
      <c r="C34" s="216"/>
      <c r="D34" s="216"/>
      <c r="E34" s="216"/>
      <c r="F34" s="216"/>
      <c r="G34" s="216"/>
      <c r="H34" s="216"/>
      <c r="I34" s="216"/>
      <c r="J34" s="216"/>
      <c r="K34" s="216"/>
      <c r="L34" s="216"/>
      <c r="M34" s="216"/>
      <c r="N34" s="216"/>
      <c r="O34" s="216"/>
      <c r="P34" s="216"/>
      <c r="Q34" s="216"/>
      <c r="R34" s="216"/>
      <c r="S34" s="216"/>
      <c r="T34" s="216"/>
      <c r="U34" s="216"/>
      <c r="V34" s="216"/>
      <c r="W34" s="236"/>
      <c r="X34" s="216"/>
      <c r="Y34" s="216"/>
      <c r="Z34" s="216"/>
      <c r="AA34" s="65"/>
      <c r="AB34" s="65"/>
      <c r="AC34" s="65"/>
      <c r="AD34" s="65"/>
    </row>
    <row r="35" spans="1:46" s="220" customFormat="1" ht="81.599999999999994" customHeight="1" thickBot="1">
      <c r="A35" s="714" t="s">
        <v>31</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20" customFormat="1" ht="25.95" customHeight="1" thickBot="1">
      <c r="A36" s="722" t="s">
        <v>32</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82"/>
      <c r="AF36" s="237"/>
      <c r="AG36" s="705" t="s">
        <v>33</v>
      </c>
      <c r="AH36" s="706"/>
      <c r="AI36" s="706"/>
      <c r="AJ36" s="706"/>
      <c r="AK36" s="707"/>
    </row>
    <row r="37" spans="1:46" s="220" customFormat="1" ht="10.199999999999999" customHeight="1">
      <c r="A37" s="188"/>
      <c r="B37" s="188"/>
      <c r="C37" s="188"/>
      <c r="D37" s="188"/>
      <c r="E37" s="188"/>
      <c r="F37" s="188"/>
      <c r="G37" s="188"/>
      <c r="H37" s="188"/>
      <c r="I37" s="188"/>
      <c r="J37" s="188"/>
      <c r="K37" s="188"/>
      <c r="L37" s="188"/>
      <c r="M37" s="188"/>
      <c r="N37" s="188"/>
      <c r="O37" s="188"/>
      <c r="P37" s="188"/>
      <c r="Q37" s="238"/>
      <c r="R37" s="238"/>
      <c r="S37" s="238"/>
      <c r="T37" s="238"/>
      <c r="U37" s="238"/>
      <c r="V37" s="238"/>
      <c r="W37" s="188"/>
      <c r="X37" s="188"/>
      <c r="Y37" s="188"/>
      <c r="Z37" s="188"/>
      <c r="AA37" s="188"/>
      <c r="AB37" s="188"/>
      <c r="AC37" s="188"/>
      <c r="AD37" s="188"/>
      <c r="AG37" s="708"/>
      <c r="AH37" s="709"/>
      <c r="AI37" s="709"/>
      <c r="AJ37" s="709"/>
      <c r="AK37" s="710"/>
    </row>
    <row r="38" spans="1:46" ht="45" customHeight="1">
      <c r="A38" s="724" t="s">
        <v>34</v>
      </c>
      <c r="B38" s="727" t="s">
        <v>35</v>
      </c>
      <c r="C38" s="728"/>
      <c r="D38" s="728"/>
      <c r="E38" s="728"/>
      <c r="F38" s="728"/>
      <c r="G38" s="728"/>
      <c r="H38" s="728"/>
      <c r="I38" s="728"/>
      <c r="J38" s="728"/>
      <c r="K38" s="729"/>
      <c r="L38" s="727" t="s">
        <v>36</v>
      </c>
      <c r="M38" s="728"/>
      <c r="N38" s="728"/>
      <c r="O38" s="728"/>
      <c r="P38" s="729"/>
      <c r="Q38" s="754" t="s">
        <v>37</v>
      </c>
      <c r="R38" s="755"/>
      <c r="S38" s="755"/>
      <c r="T38" s="755"/>
      <c r="U38" s="755"/>
      <c r="V38" s="756"/>
      <c r="W38" s="735" t="s">
        <v>38</v>
      </c>
      <c r="X38" s="727" t="s">
        <v>39</v>
      </c>
      <c r="Y38" s="729"/>
      <c r="Z38" s="762" t="s">
        <v>40</v>
      </c>
      <c r="AA38" s="757" t="s">
        <v>41</v>
      </c>
      <c r="AB38" s="757" t="s">
        <v>42</v>
      </c>
      <c r="AC38" s="757" t="s">
        <v>43</v>
      </c>
      <c r="AD38" s="735" t="s">
        <v>44</v>
      </c>
      <c r="AE38" s="735" t="s">
        <v>45</v>
      </c>
      <c r="AF38" s="239"/>
      <c r="AG38" s="708"/>
      <c r="AH38" s="709"/>
      <c r="AI38" s="709"/>
      <c r="AJ38" s="709"/>
      <c r="AK38" s="710"/>
    </row>
    <row r="39" spans="1:46" ht="34.200000000000003" customHeight="1" thickBot="1">
      <c r="A39" s="725"/>
      <c r="B39" s="730"/>
      <c r="C39" s="731"/>
      <c r="D39" s="731"/>
      <c r="E39" s="731"/>
      <c r="F39" s="731"/>
      <c r="G39" s="731"/>
      <c r="H39" s="731"/>
      <c r="I39" s="731"/>
      <c r="J39" s="731"/>
      <c r="K39" s="732"/>
      <c r="L39" s="730"/>
      <c r="M39" s="731"/>
      <c r="N39" s="731"/>
      <c r="O39" s="731"/>
      <c r="P39" s="732"/>
      <c r="Q39" s="733" t="s">
        <v>46</v>
      </c>
      <c r="R39" s="734"/>
      <c r="S39" s="734"/>
      <c r="T39" s="734"/>
      <c r="U39" s="734"/>
      <c r="V39" s="570" t="s">
        <v>47</v>
      </c>
      <c r="W39" s="736"/>
      <c r="X39" s="730"/>
      <c r="Y39" s="732"/>
      <c r="Z39" s="763"/>
      <c r="AA39" s="758"/>
      <c r="AB39" s="758"/>
      <c r="AC39" s="758"/>
      <c r="AD39" s="736"/>
      <c r="AE39" s="736"/>
      <c r="AF39" s="239"/>
      <c r="AG39" s="711"/>
      <c r="AH39" s="712"/>
      <c r="AI39" s="712"/>
      <c r="AJ39" s="712"/>
      <c r="AK39" s="713"/>
    </row>
    <row r="40" spans="1:46" ht="49.95" customHeight="1" thickBot="1">
      <c r="A40" s="240">
        <v>1</v>
      </c>
      <c r="B40" s="737" t="s">
        <v>2578</v>
      </c>
      <c r="C40" s="738"/>
      <c r="D40" s="738"/>
      <c r="E40" s="738"/>
      <c r="F40" s="738"/>
      <c r="G40" s="738"/>
      <c r="H40" s="738"/>
      <c r="I40" s="738"/>
      <c r="J40" s="738"/>
      <c r="K40" s="738"/>
      <c r="L40" s="764" t="s">
        <v>2536</v>
      </c>
      <c r="M40" s="764"/>
      <c r="N40" s="764"/>
      <c r="O40" s="764"/>
      <c r="P40" s="764"/>
      <c r="Q40" s="726" t="s">
        <v>2536</v>
      </c>
      <c r="R40" s="726"/>
      <c r="S40" s="726"/>
      <c r="T40" s="726"/>
      <c r="U40" s="726"/>
      <c r="V40" s="572" t="s">
        <v>2625</v>
      </c>
      <c r="W40" s="572" t="s">
        <v>2637</v>
      </c>
      <c r="X40" s="701" t="s">
        <v>48</v>
      </c>
      <c r="Y40" s="702"/>
      <c r="Z40" s="571" t="str">
        <f>IFERROR(VLOOKUP(X40, 【参考】数式用!$A$2:$B$46, 2, FALSE), "")</f>
        <v>11</v>
      </c>
      <c r="AA40" s="586">
        <v>1000000</v>
      </c>
      <c r="AB40" s="587">
        <v>250000</v>
      </c>
      <c r="AC40" s="588">
        <f t="shared" ref="AC40:AC104" si="0">AA40-AB40</f>
        <v>750000</v>
      </c>
      <c r="AD40" s="603">
        <f>IF(B40="", "", IF(COUNTIF(X40,"*独自*"),"数式を削除して手入力",IFERROR(INDEX(【参考】数式用!$O$3:'【参考】数式用'!$Q$452,MATCH(Q40&amp;V40,【参考】数式用!$N$3:'【参考】数式用'!$N$452,0),MATCH(VLOOKUP(X40,【参考】数式用!$R$2:$S$46,2,FALSE),【参考】数式用!$O$2:$Q$2,0)),10)))</f>
        <v>10.42</v>
      </c>
      <c r="AE40" s="583" t="s">
        <v>2653</v>
      </c>
      <c r="AF40" s="241"/>
      <c r="AG40" s="242" t="s">
        <v>49</v>
      </c>
      <c r="AH40" s="243" t="s">
        <v>50</v>
      </c>
      <c r="AI40" s="244" t="s">
        <v>51</v>
      </c>
      <c r="AJ40" s="245" t="s">
        <v>52</v>
      </c>
      <c r="AK40" s="246" t="s">
        <v>53</v>
      </c>
      <c r="AL40" s="247"/>
      <c r="AM40" s="247"/>
      <c r="AN40" s="247"/>
      <c r="AO40" s="247"/>
      <c r="AP40" s="247"/>
      <c r="AQ40" s="247"/>
      <c r="AR40" s="247"/>
      <c r="AS40" s="247"/>
      <c r="AT40" s="247"/>
    </row>
    <row r="41" spans="1:46" ht="49.95" customHeight="1">
      <c r="A41" s="240">
        <f>A40+1</f>
        <v>2</v>
      </c>
      <c r="B41" s="737" t="s">
        <v>2579</v>
      </c>
      <c r="C41" s="738"/>
      <c r="D41" s="738"/>
      <c r="E41" s="738"/>
      <c r="F41" s="738"/>
      <c r="G41" s="738"/>
      <c r="H41" s="738"/>
      <c r="I41" s="738"/>
      <c r="J41" s="738"/>
      <c r="K41" s="738"/>
      <c r="L41" s="764" t="s">
        <v>2520</v>
      </c>
      <c r="M41" s="764"/>
      <c r="N41" s="764"/>
      <c r="O41" s="764"/>
      <c r="P41" s="764"/>
      <c r="Q41" s="726" t="s">
        <v>2520</v>
      </c>
      <c r="R41" s="726"/>
      <c r="S41" s="726"/>
      <c r="T41" s="726"/>
      <c r="U41" s="726"/>
      <c r="V41" s="572" t="s">
        <v>1824</v>
      </c>
      <c r="W41" s="572" t="s">
        <v>2638</v>
      </c>
      <c r="X41" s="701" t="s">
        <v>48</v>
      </c>
      <c r="Y41" s="702"/>
      <c r="Z41" s="561" t="str">
        <f>IFERROR(VLOOKUP(X41, 【参考】数式用!$A$2:$B$46, 2, FALSE), "")</f>
        <v>11</v>
      </c>
      <c r="AA41" s="589">
        <v>1000000</v>
      </c>
      <c r="AB41" s="590">
        <v>250000</v>
      </c>
      <c r="AC41" s="591">
        <f t="shared" si="0"/>
        <v>750000</v>
      </c>
      <c r="AD41" s="603">
        <f>IF(B41="", "", IF(COUNTIF(X41,"*独自*"),"数式を削除して手入力",IFERROR(INDEX(【参考】数式用!$O$3:'【参考】数式用'!$Q$452,MATCH(Q41&amp;V41,【参考】数式用!$N$3:'【参考】数式用'!$N$452,0),MATCH(VLOOKUP(X41,【参考】数式用!$R$2:$S$46,2,FALSE),【参考】数式用!$O$2:$Q$2,0)),10)))</f>
        <v>10.42</v>
      </c>
      <c r="AE41" s="583" t="s">
        <v>2653</v>
      </c>
      <c r="AF41" s="241"/>
      <c r="AG41" s="720" t="s">
        <v>54</v>
      </c>
      <c r="AH41" s="248" t="s">
        <v>55</v>
      </c>
      <c r="AI41" s="249" t="s">
        <v>56</v>
      </c>
      <c r="AJ41" s="250">
        <f>COUNTIF($Z$40:$Z$139, AI41)</f>
        <v>1</v>
      </c>
      <c r="AK41" s="721" t="str">
        <f>IF(AJ41=AJ42, "一致", "不一致")</f>
        <v>一致</v>
      </c>
    </row>
    <row r="42" spans="1:46" ht="49.95" customHeight="1">
      <c r="A42" s="240">
        <f t="shared" ref="A42:A78" si="1">A41+1</f>
        <v>3</v>
      </c>
      <c r="B42" s="742" t="s">
        <v>2580</v>
      </c>
      <c r="C42" s="743"/>
      <c r="D42" s="743"/>
      <c r="E42" s="743"/>
      <c r="F42" s="743"/>
      <c r="G42" s="743"/>
      <c r="H42" s="743"/>
      <c r="I42" s="743"/>
      <c r="J42" s="743"/>
      <c r="K42" s="744"/>
      <c r="L42" s="739" t="s">
        <v>2624</v>
      </c>
      <c r="M42" s="740"/>
      <c r="N42" s="740"/>
      <c r="O42" s="740"/>
      <c r="P42" s="741"/>
      <c r="Q42" s="726" t="s">
        <v>2624</v>
      </c>
      <c r="R42" s="726"/>
      <c r="S42" s="726"/>
      <c r="T42" s="726"/>
      <c r="U42" s="726"/>
      <c r="V42" s="572" t="s">
        <v>1781</v>
      </c>
      <c r="W42" s="129" t="s">
        <v>2639</v>
      </c>
      <c r="X42" s="701" t="s">
        <v>48</v>
      </c>
      <c r="Y42" s="702"/>
      <c r="Z42" s="562" t="str">
        <f>IFERROR(VLOOKUP(X42, 【参考】数式用!$A$2:$B$46, 2, FALSE), "")</f>
        <v>11</v>
      </c>
      <c r="AA42" s="589">
        <v>1000000</v>
      </c>
      <c r="AB42" s="590">
        <v>250000</v>
      </c>
      <c r="AC42" s="592">
        <f t="shared" si="0"/>
        <v>750000</v>
      </c>
      <c r="AD42" s="603">
        <f>IF(B42="", "", IF(COUNTIF(X42,"*独自*"),"数式を削除して手入力",IFERROR(INDEX(【参考】数式用!$O$3:'【参考】数式用'!$Q$452,MATCH(Q42&amp;V42,【参考】数式用!$N$3:'【参考】数式用'!$N$452,0),MATCH(VLOOKUP(X42,【参考】数式用!$R$2:$S$46,2,FALSE),【参考】数式用!$O$2:$Q$2,0)),10)))</f>
        <v>10</v>
      </c>
      <c r="AE42" s="583" t="s">
        <v>2653</v>
      </c>
      <c r="AF42" s="241"/>
      <c r="AG42" s="719"/>
      <c r="AH42" s="251" t="s">
        <v>57</v>
      </c>
      <c r="AI42" s="252" t="s">
        <v>58</v>
      </c>
      <c r="AJ42" s="253">
        <f t="shared" ref="AJ42:AJ73" si="2">COUNTIF($Z$40:$Z$139, AI42)</f>
        <v>1</v>
      </c>
      <c r="AK42" s="716"/>
    </row>
    <row r="43" spans="1:46" ht="49.95" customHeight="1">
      <c r="A43" s="240">
        <f t="shared" si="1"/>
        <v>4</v>
      </c>
      <c r="B43" s="742" t="s">
        <v>2581</v>
      </c>
      <c r="C43" s="743"/>
      <c r="D43" s="743"/>
      <c r="E43" s="743"/>
      <c r="F43" s="743"/>
      <c r="G43" s="743"/>
      <c r="H43" s="743"/>
      <c r="I43" s="743"/>
      <c r="J43" s="743"/>
      <c r="K43" s="744"/>
      <c r="L43" s="739" t="s">
        <v>2625</v>
      </c>
      <c r="M43" s="740"/>
      <c r="N43" s="740"/>
      <c r="O43" s="740"/>
      <c r="P43" s="741"/>
      <c r="Q43" s="726" t="s">
        <v>2536</v>
      </c>
      <c r="R43" s="726"/>
      <c r="S43" s="726"/>
      <c r="T43" s="726"/>
      <c r="U43" s="726"/>
      <c r="V43" s="572" t="s">
        <v>2625</v>
      </c>
      <c r="W43" s="129" t="s">
        <v>2640</v>
      </c>
      <c r="X43" s="701" t="s">
        <v>48</v>
      </c>
      <c r="Y43" s="702"/>
      <c r="Z43" s="561" t="str">
        <f>IFERROR(VLOOKUP(X43, 【参考】数式用!$A$2:$B$46, 2, FALSE), "")</f>
        <v>11</v>
      </c>
      <c r="AA43" s="589">
        <v>1000000</v>
      </c>
      <c r="AB43" s="590">
        <v>250000</v>
      </c>
      <c r="AC43" s="591">
        <f t="shared" si="0"/>
        <v>750000</v>
      </c>
      <c r="AD43" s="603">
        <f>IF(B43="", "", IF(COUNTIF(X43,"*独自*"),"数式を削除して手入力",IFERROR(INDEX(【参考】数式用!$O$3:'【参考】数式用'!$Q$452,MATCH(Q43&amp;V43,【参考】数式用!$N$3:'【参考】数式用'!$N$452,0),MATCH(VLOOKUP(X43,【参考】数式用!$R$2:$S$46,2,FALSE),【参考】数式用!$O$2:$Q$2,0)),10)))</f>
        <v>10.42</v>
      </c>
      <c r="AE43" s="583" t="s">
        <v>2653</v>
      </c>
      <c r="AF43" s="241"/>
      <c r="AG43" s="715" t="s">
        <v>59</v>
      </c>
      <c r="AH43" s="251" t="s">
        <v>60</v>
      </c>
      <c r="AI43" s="252" t="s">
        <v>61</v>
      </c>
      <c r="AJ43" s="253">
        <f t="shared" si="2"/>
        <v>1</v>
      </c>
      <c r="AK43" s="716" t="str">
        <f>IF(AJ43=AJ44, "一致", "不一致")</f>
        <v>一致</v>
      </c>
    </row>
    <row r="44" spans="1:46" ht="49.95" customHeight="1">
      <c r="A44" s="240">
        <f t="shared" si="1"/>
        <v>5</v>
      </c>
      <c r="B44" s="742" t="s">
        <v>2578</v>
      </c>
      <c r="C44" s="743"/>
      <c r="D44" s="743"/>
      <c r="E44" s="743"/>
      <c r="F44" s="743"/>
      <c r="G44" s="743"/>
      <c r="H44" s="743"/>
      <c r="I44" s="743"/>
      <c r="J44" s="743"/>
      <c r="K44" s="744"/>
      <c r="L44" s="739" t="s">
        <v>2626</v>
      </c>
      <c r="M44" s="740"/>
      <c r="N44" s="740"/>
      <c r="O44" s="740"/>
      <c r="P44" s="741"/>
      <c r="Q44" s="726" t="s">
        <v>2536</v>
      </c>
      <c r="R44" s="726"/>
      <c r="S44" s="726"/>
      <c r="T44" s="726"/>
      <c r="U44" s="726"/>
      <c r="V44" s="572" t="s">
        <v>2626</v>
      </c>
      <c r="W44" s="129" t="s">
        <v>2641</v>
      </c>
      <c r="X44" s="701" t="s">
        <v>62</v>
      </c>
      <c r="Y44" s="702" t="s">
        <v>62</v>
      </c>
      <c r="Z44" s="561" t="str">
        <f>IFERROR(VLOOKUP(X44, 【参考】数式用!$A$2:$B$46, 2, FALSE), "")</f>
        <v>71</v>
      </c>
      <c r="AA44" s="589">
        <v>1000000</v>
      </c>
      <c r="AB44" s="590">
        <v>250000</v>
      </c>
      <c r="AC44" s="591">
        <f t="shared" si="0"/>
        <v>750000</v>
      </c>
      <c r="AD44" s="603">
        <f>IF(B44="", "", IF(COUNTIF(X44,"*独自*"),"数式を削除して手入力",IFERROR(INDEX(【参考】数式用!$O$3:'【参考】数式用'!$Q$452,MATCH(Q44&amp;V44,【参考】数式用!$N$3:'【参考】数式用'!$N$452,0),MATCH(VLOOKUP(X44,【参考】数式用!$R$2:$S$46,2,FALSE),【参考】数式用!$O$2:$Q$2,0)),10)))</f>
        <v>10.210000000000001</v>
      </c>
      <c r="AE44" s="583" t="s">
        <v>2653</v>
      </c>
      <c r="AF44" s="241"/>
      <c r="AG44" s="715"/>
      <c r="AH44" s="251" t="s">
        <v>63</v>
      </c>
      <c r="AI44" s="252" t="s">
        <v>64</v>
      </c>
      <c r="AJ44" s="253">
        <f t="shared" si="2"/>
        <v>1</v>
      </c>
      <c r="AK44" s="716"/>
    </row>
    <row r="45" spans="1:46" ht="49.95" customHeight="1">
      <c r="A45" s="240">
        <f t="shared" si="1"/>
        <v>6</v>
      </c>
      <c r="B45" s="742" t="s">
        <v>2582</v>
      </c>
      <c r="C45" s="743"/>
      <c r="D45" s="743"/>
      <c r="E45" s="743"/>
      <c r="F45" s="743"/>
      <c r="G45" s="743"/>
      <c r="H45" s="743"/>
      <c r="I45" s="743"/>
      <c r="J45" s="743"/>
      <c r="K45" s="744"/>
      <c r="L45" s="739" t="s">
        <v>2627</v>
      </c>
      <c r="M45" s="740"/>
      <c r="N45" s="740"/>
      <c r="O45" s="740"/>
      <c r="P45" s="741"/>
      <c r="Q45" s="726" t="s">
        <v>2536</v>
      </c>
      <c r="R45" s="726"/>
      <c r="S45" s="726"/>
      <c r="T45" s="726"/>
      <c r="U45" s="726"/>
      <c r="V45" s="572" t="s">
        <v>2627</v>
      </c>
      <c r="W45" s="129" t="s">
        <v>2642</v>
      </c>
      <c r="X45" s="701" t="s">
        <v>65</v>
      </c>
      <c r="Y45" s="702" t="s">
        <v>65</v>
      </c>
      <c r="Z45" s="561" t="str">
        <f>IFERROR(VLOOKUP(X45, 【参考】数式用!$A$2:$B$46, 2, FALSE), "")</f>
        <v>76</v>
      </c>
      <c r="AA45" s="589">
        <v>1000000</v>
      </c>
      <c r="AB45" s="590">
        <v>250000</v>
      </c>
      <c r="AC45" s="591">
        <f t="shared" si="0"/>
        <v>750000</v>
      </c>
      <c r="AD45" s="603">
        <f>IF(B45="", "", IF(COUNTIF(X45,"*独自*"),"数式を削除して手入力",IFERROR(INDEX(【参考】数式用!$O$3:'【参考】数式用'!$Q$452,MATCH(Q45&amp;V45,【参考】数式用!$N$3:'【参考】数式用'!$N$452,0),MATCH(VLOOKUP(X45,【参考】数式用!$R$2:$S$46,2,FALSE),【参考】数式用!$O$2:$Q$2,0)),10)))</f>
        <v>10.42</v>
      </c>
      <c r="AE45" s="583" t="s">
        <v>2653</v>
      </c>
      <c r="AF45" s="241"/>
      <c r="AG45" s="719" t="s">
        <v>66</v>
      </c>
      <c r="AH45" s="251" t="s">
        <v>67</v>
      </c>
      <c r="AI45" s="252" t="s">
        <v>68</v>
      </c>
      <c r="AJ45" s="253">
        <f t="shared" si="2"/>
        <v>1</v>
      </c>
      <c r="AK45" s="716" t="str">
        <f>IF(AND(AJ45=AJ46, AJ46=AJ47), "一致", "不一致")</f>
        <v>一致</v>
      </c>
    </row>
    <row r="46" spans="1:46" ht="49.95" customHeight="1">
      <c r="A46" s="240">
        <f t="shared" si="1"/>
        <v>7</v>
      </c>
      <c r="B46" s="742" t="s">
        <v>2583</v>
      </c>
      <c r="C46" s="743"/>
      <c r="D46" s="743"/>
      <c r="E46" s="743"/>
      <c r="F46" s="743"/>
      <c r="G46" s="743"/>
      <c r="H46" s="743"/>
      <c r="I46" s="743"/>
      <c r="J46" s="743"/>
      <c r="K46" s="744"/>
      <c r="L46" s="739" t="s">
        <v>2536</v>
      </c>
      <c r="M46" s="740"/>
      <c r="N46" s="740"/>
      <c r="O46" s="740"/>
      <c r="P46" s="741"/>
      <c r="Q46" s="726" t="s">
        <v>2536</v>
      </c>
      <c r="R46" s="726"/>
      <c r="S46" s="726"/>
      <c r="T46" s="726"/>
      <c r="U46" s="726"/>
      <c r="V46" s="572" t="s">
        <v>2625</v>
      </c>
      <c r="W46" s="129" t="s">
        <v>2643</v>
      </c>
      <c r="X46" s="701" t="s">
        <v>55</v>
      </c>
      <c r="Y46" s="702" t="s">
        <v>55</v>
      </c>
      <c r="Z46" s="561" t="str">
        <f>IFERROR(VLOOKUP(X46, 【参考】数式用!$A$2:$B$46, 2, FALSE), "")</f>
        <v>12</v>
      </c>
      <c r="AA46" s="589">
        <v>1000000</v>
      </c>
      <c r="AB46" s="590">
        <v>250000</v>
      </c>
      <c r="AC46" s="591">
        <f t="shared" si="0"/>
        <v>750000</v>
      </c>
      <c r="AD46" s="603">
        <f>IF(B46="", "", IF(COUNTIF(X46,"*独自*"),"数式を削除して手入力",IFERROR(INDEX(【参考】数式用!$O$3:'【参考】数式用'!$Q$452,MATCH(Q46&amp;V46,【参考】数式用!$N$3:'【参考】数式用'!$N$452,0),MATCH(VLOOKUP(X46,【参考】数式用!$R$2:$S$46,2,FALSE),【参考】数式用!$O$2:$Q$2,0)),10)))</f>
        <v>10.42</v>
      </c>
      <c r="AE46" s="583" t="s">
        <v>2653</v>
      </c>
      <c r="AF46" s="241"/>
      <c r="AG46" s="719"/>
      <c r="AH46" s="251" t="s">
        <v>69</v>
      </c>
      <c r="AI46" s="252" t="s">
        <v>70</v>
      </c>
      <c r="AJ46" s="253">
        <f t="shared" si="2"/>
        <v>1</v>
      </c>
      <c r="AK46" s="716"/>
    </row>
    <row r="47" spans="1:46" ht="49.95" customHeight="1">
      <c r="A47" s="240">
        <f t="shared" si="1"/>
        <v>8</v>
      </c>
      <c r="B47" s="742" t="s">
        <v>2584</v>
      </c>
      <c r="C47" s="743"/>
      <c r="D47" s="743"/>
      <c r="E47" s="743"/>
      <c r="F47" s="743"/>
      <c r="G47" s="743"/>
      <c r="H47" s="743"/>
      <c r="I47" s="743"/>
      <c r="J47" s="743"/>
      <c r="K47" s="744"/>
      <c r="L47" s="739" t="s">
        <v>2536</v>
      </c>
      <c r="M47" s="740"/>
      <c r="N47" s="740"/>
      <c r="O47" s="740"/>
      <c r="P47" s="741"/>
      <c r="Q47" s="726" t="s">
        <v>2536</v>
      </c>
      <c r="R47" s="726"/>
      <c r="S47" s="726"/>
      <c r="T47" s="726"/>
      <c r="U47" s="726"/>
      <c r="V47" s="572" t="s">
        <v>2625</v>
      </c>
      <c r="W47" s="129" t="s">
        <v>2643</v>
      </c>
      <c r="X47" s="701" t="s">
        <v>71</v>
      </c>
      <c r="Y47" s="702" t="s">
        <v>71</v>
      </c>
      <c r="Z47" s="561" t="str">
        <f>IFERROR(VLOOKUP(X47, 【参考】数式用!$A$2:$B$46, 2, FALSE), "")</f>
        <v>62</v>
      </c>
      <c r="AA47" s="589">
        <v>1000000</v>
      </c>
      <c r="AB47" s="590">
        <v>250000</v>
      </c>
      <c r="AC47" s="591">
        <f t="shared" si="0"/>
        <v>750000</v>
      </c>
      <c r="AD47" s="603">
        <f>IF(B47="", "", IF(COUNTIF(X47,"*独自*"),"数式を削除して手入力",IFERROR(INDEX(【参考】数式用!$O$3:'【参考】数式用'!$Q$452,MATCH(Q47&amp;V47,【参考】数式用!$N$3:'【参考】数式用'!$N$452,0),MATCH(VLOOKUP(X47,【参考】数式用!$R$2:$S$46,2,FALSE),【参考】数式用!$O$2:$Q$2,0)),10)))</f>
        <v>10.42</v>
      </c>
      <c r="AE47" s="583" t="s">
        <v>2653</v>
      </c>
      <c r="AF47" s="241"/>
      <c r="AG47" s="719"/>
      <c r="AH47" s="251" t="s">
        <v>72</v>
      </c>
      <c r="AI47" s="252" t="s">
        <v>73</v>
      </c>
      <c r="AJ47" s="253">
        <f t="shared" si="2"/>
        <v>1</v>
      </c>
      <c r="AK47" s="716"/>
    </row>
    <row r="48" spans="1:46" ht="49.95" customHeight="1">
      <c r="A48" s="240">
        <f t="shared" si="1"/>
        <v>9</v>
      </c>
      <c r="B48" s="742" t="s">
        <v>2585</v>
      </c>
      <c r="C48" s="743"/>
      <c r="D48" s="743"/>
      <c r="E48" s="743"/>
      <c r="F48" s="743"/>
      <c r="G48" s="743"/>
      <c r="H48" s="743"/>
      <c r="I48" s="743"/>
      <c r="J48" s="743"/>
      <c r="K48" s="744"/>
      <c r="L48" s="739" t="s">
        <v>2536</v>
      </c>
      <c r="M48" s="740"/>
      <c r="N48" s="740"/>
      <c r="O48" s="740"/>
      <c r="P48" s="741"/>
      <c r="Q48" s="726" t="s">
        <v>2536</v>
      </c>
      <c r="R48" s="726"/>
      <c r="S48" s="726"/>
      <c r="T48" s="726"/>
      <c r="U48" s="726"/>
      <c r="V48" s="572" t="s">
        <v>2625</v>
      </c>
      <c r="W48" s="129" t="s">
        <v>2644</v>
      </c>
      <c r="X48" s="701" t="s">
        <v>74</v>
      </c>
      <c r="Y48" s="702" t="s">
        <v>74</v>
      </c>
      <c r="Z48" s="561" t="str">
        <f>IFERROR(VLOOKUP(X48, 【参考】数式用!$A$2:$B$46, 2, FALSE), "")</f>
        <v>15</v>
      </c>
      <c r="AA48" s="589">
        <v>1000000</v>
      </c>
      <c r="AB48" s="590">
        <v>250000</v>
      </c>
      <c r="AC48" s="591">
        <f t="shared" si="0"/>
        <v>750000</v>
      </c>
      <c r="AD48" s="603">
        <f>IF(B48="", "", IF(COUNTIF(X48,"*独自*"),"数式を削除して手入力",IFERROR(INDEX(【参考】数式用!$O$3:'【参考】数式用'!$Q$452,MATCH(Q48&amp;V48,【参考】数式用!$N$3:'【参考】数式用'!$N$452,0),MATCH(VLOOKUP(X48,【参考】数式用!$R$2:$S$46,2,FALSE),【参考】数式用!$O$2:$Q$2,0)),10)))</f>
        <v>10.27</v>
      </c>
      <c r="AE48" s="583" t="s">
        <v>2653</v>
      </c>
      <c r="AF48" s="241"/>
      <c r="AG48" s="719" t="s">
        <v>75</v>
      </c>
      <c r="AH48" s="251" t="s">
        <v>76</v>
      </c>
      <c r="AI48" s="252" t="s">
        <v>77</v>
      </c>
      <c r="AJ48" s="253">
        <f t="shared" si="2"/>
        <v>1</v>
      </c>
      <c r="AK48" s="716" t="str">
        <f>IF(AJ48=AJ49, "一致", "不一致")</f>
        <v>一致</v>
      </c>
    </row>
    <row r="49" spans="1:37" ht="49.95" customHeight="1">
      <c r="A49" s="240">
        <f t="shared" si="1"/>
        <v>10</v>
      </c>
      <c r="B49" s="742" t="s">
        <v>2586</v>
      </c>
      <c r="C49" s="743"/>
      <c r="D49" s="743"/>
      <c r="E49" s="743"/>
      <c r="F49" s="743"/>
      <c r="G49" s="743"/>
      <c r="H49" s="743"/>
      <c r="I49" s="743"/>
      <c r="J49" s="743"/>
      <c r="K49" s="744"/>
      <c r="L49" s="739" t="s">
        <v>2628</v>
      </c>
      <c r="M49" s="740"/>
      <c r="N49" s="740"/>
      <c r="O49" s="740"/>
      <c r="P49" s="741"/>
      <c r="Q49" s="726" t="s">
        <v>2536</v>
      </c>
      <c r="R49" s="726"/>
      <c r="S49" s="726"/>
      <c r="T49" s="726"/>
      <c r="U49" s="726"/>
      <c r="V49" s="572" t="s">
        <v>2625</v>
      </c>
      <c r="W49" s="129" t="s">
        <v>2644</v>
      </c>
      <c r="X49" s="701" t="s">
        <v>78</v>
      </c>
      <c r="Y49" s="702" t="s">
        <v>78</v>
      </c>
      <c r="Z49" s="561" t="str">
        <f>IFERROR(VLOOKUP(X49, 【参考】数式用!$A$2:$B$46, 2, FALSE), "")</f>
        <v>78</v>
      </c>
      <c r="AA49" s="589">
        <v>1000000</v>
      </c>
      <c r="AB49" s="590">
        <v>250000</v>
      </c>
      <c r="AC49" s="591">
        <f t="shared" si="0"/>
        <v>750000</v>
      </c>
      <c r="AD49" s="603">
        <f>IF(B49="", "", IF(COUNTIF(X49,"*独自*"),"数式を削除して手入力",IFERROR(INDEX(【参考】数式用!$O$3:'【参考】数式用'!$Q$452,MATCH(Q49&amp;V49,【参考】数式用!$N$3:'【参考】数式用'!$N$452,0),MATCH(VLOOKUP(X49,【参考】数式用!$R$2:$S$46,2,FALSE),【参考】数式用!$O$2:$Q$2,0)),10)))</f>
        <v>10.27</v>
      </c>
      <c r="AE49" s="583" t="s">
        <v>2653</v>
      </c>
      <c r="AF49" s="241"/>
      <c r="AG49" s="719"/>
      <c r="AH49" s="251" t="s">
        <v>79</v>
      </c>
      <c r="AI49" s="252" t="s">
        <v>80</v>
      </c>
      <c r="AJ49" s="253">
        <f t="shared" si="2"/>
        <v>1</v>
      </c>
      <c r="AK49" s="716"/>
    </row>
    <row r="50" spans="1:37" ht="49.95" customHeight="1">
      <c r="A50" s="240">
        <f t="shared" si="1"/>
        <v>11</v>
      </c>
      <c r="B50" s="742" t="s">
        <v>2587</v>
      </c>
      <c r="C50" s="743"/>
      <c r="D50" s="743"/>
      <c r="E50" s="743"/>
      <c r="F50" s="743"/>
      <c r="G50" s="743"/>
      <c r="H50" s="743"/>
      <c r="I50" s="743"/>
      <c r="J50" s="743"/>
      <c r="K50" s="744"/>
      <c r="L50" s="739" t="s">
        <v>2536</v>
      </c>
      <c r="M50" s="740"/>
      <c r="N50" s="740"/>
      <c r="O50" s="740"/>
      <c r="P50" s="741"/>
      <c r="Q50" s="726" t="s">
        <v>2536</v>
      </c>
      <c r="R50" s="726"/>
      <c r="S50" s="726"/>
      <c r="T50" s="726"/>
      <c r="U50" s="726"/>
      <c r="V50" s="572" t="s">
        <v>2625</v>
      </c>
      <c r="W50" s="129" t="s">
        <v>2645</v>
      </c>
      <c r="X50" s="701" t="s">
        <v>81</v>
      </c>
      <c r="Y50" s="702" t="s">
        <v>81</v>
      </c>
      <c r="Z50" s="561" t="str">
        <f>IFERROR(VLOOKUP(X50, 【参考】数式用!$A$2:$B$46, 2, FALSE), "")</f>
        <v>16</v>
      </c>
      <c r="AA50" s="589">
        <v>1000000</v>
      </c>
      <c r="AB50" s="590">
        <v>250000</v>
      </c>
      <c r="AC50" s="591">
        <f t="shared" si="0"/>
        <v>750000</v>
      </c>
      <c r="AD50" s="603">
        <f>IF(B50="", "", IF(COUNTIF(X50,"*独自*"),"数式を削除して手入力",IFERROR(INDEX(【参考】数式用!$O$3:'【参考】数式用'!$Q$452,MATCH(Q50&amp;V50,【参考】数式用!$N$3:'【参考】数式用'!$N$452,0),MATCH(VLOOKUP(X50,【参考】数式用!$R$2:$S$46,2,FALSE),【参考】数式用!$O$2:$Q$2,0)),10)))</f>
        <v>10.33</v>
      </c>
      <c r="AE50" s="583" t="s">
        <v>2653</v>
      </c>
      <c r="AF50" s="241"/>
      <c r="AG50" s="719" t="s">
        <v>82</v>
      </c>
      <c r="AH50" s="251" t="s">
        <v>83</v>
      </c>
      <c r="AI50" s="252" t="s">
        <v>84</v>
      </c>
      <c r="AJ50" s="253">
        <f t="shared" si="2"/>
        <v>1</v>
      </c>
      <c r="AK50" s="716" t="str">
        <f>IF(AJ50=AJ51, "一致", "不一致")</f>
        <v>一致</v>
      </c>
    </row>
    <row r="51" spans="1:37" ht="49.95" customHeight="1">
      <c r="A51" s="240">
        <f t="shared" si="1"/>
        <v>12</v>
      </c>
      <c r="B51" s="742" t="s">
        <v>2588</v>
      </c>
      <c r="C51" s="743"/>
      <c r="D51" s="743"/>
      <c r="E51" s="743"/>
      <c r="F51" s="743"/>
      <c r="G51" s="743"/>
      <c r="H51" s="743"/>
      <c r="I51" s="743"/>
      <c r="J51" s="743"/>
      <c r="K51" s="744"/>
      <c r="L51" s="739" t="s">
        <v>2536</v>
      </c>
      <c r="M51" s="740"/>
      <c r="N51" s="740"/>
      <c r="O51" s="740"/>
      <c r="P51" s="741"/>
      <c r="Q51" s="726" t="s">
        <v>2536</v>
      </c>
      <c r="R51" s="726"/>
      <c r="S51" s="726"/>
      <c r="T51" s="726"/>
      <c r="U51" s="726"/>
      <c r="V51" s="572" t="s">
        <v>2625</v>
      </c>
      <c r="W51" s="129" t="s">
        <v>2645</v>
      </c>
      <c r="X51" s="701" t="s">
        <v>85</v>
      </c>
      <c r="Y51" s="702" t="s">
        <v>85</v>
      </c>
      <c r="Z51" s="561" t="str">
        <f>IFERROR(VLOOKUP(X51, 【参考】数式用!$A$2:$B$46, 2, FALSE), "")</f>
        <v>66</v>
      </c>
      <c r="AA51" s="589">
        <v>1000000</v>
      </c>
      <c r="AB51" s="590">
        <v>250000</v>
      </c>
      <c r="AC51" s="591">
        <f t="shared" si="0"/>
        <v>750000</v>
      </c>
      <c r="AD51" s="603">
        <f>IF(B51="", "", IF(COUNTIF(X51,"*独自*"),"数式を削除して手入力",IFERROR(INDEX(【参考】数式用!$O$3:'【参考】数式用'!$Q$452,MATCH(Q51&amp;V51,【参考】数式用!$N$3:'【参考】数式用'!$N$452,0),MATCH(VLOOKUP(X51,【参考】数式用!$R$2:$S$46,2,FALSE),【参考】数式用!$O$2:$Q$2,0)),10)))</f>
        <v>10.33</v>
      </c>
      <c r="AE51" s="583" t="s">
        <v>2653</v>
      </c>
      <c r="AF51" s="241"/>
      <c r="AG51" s="719"/>
      <c r="AH51" s="251" t="s">
        <v>86</v>
      </c>
      <c r="AI51" s="252" t="s">
        <v>87</v>
      </c>
      <c r="AJ51" s="253">
        <f t="shared" si="2"/>
        <v>1</v>
      </c>
      <c r="AK51" s="716"/>
    </row>
    <row r="52" spans="1:37" ht="49.95" customHeight="1">
      <c r="A52" s="240">
        <f t="shared" si="1"/>
        <v>13</v>
      </c>
      <c r="B52" s="742" t="s">
        <v>2589</v>
      </c>
      <c r="C52" s="743"/>
      <c r="D52" s="743"/>
      <c r="E52" s="743"/>
      <c r="F52" s="743"/>
      <c r="G52" s="743"/>
      <c r="H52" s="743"/>
      <c r="I52" s="743"/>
      <c r="J52" s="743"/>
      <c r="K52" s="744"/>
      <c r="L52" s="739" t="s">
        <v>2536</v>
      </c>
      <c r="M52" s="740"/>
      <c r="N52" s="740"/>
      <c r="O52" s="740"/>
      <c r="P52" s="741"/>
      <c r="Q52" s="726" t="s">
        <v>2536</v>
      </c>
      <c r="R52" s="726"/>
      <c r="S52" s="726"/>
      <c r="T52" s="726"/>
      <c r="U52" s="726"/>
      <c r="V52" s="572" t="s">
        <v>2625</v>
      </c>
      <c r="W52" s="129" t="s">
        <v>2646</v>
      </c>
      <c r="X52" s="701" t="s">
        <v>88</v>
      </c>
      <c r="Y52" s="702" t="s">
        <v>88</v>
      </c>
      <c r="Z52" s="561" t="str">
        <f>IFERROR(VLOOKUP(X52, 【参考】数式用!$A$2:$B$46, 2, FALSE), "")</f>
        <v>33</v>
      </c>
      <c r="AA52" s="589">
        <v>1000000</v>
      </c>
      <c r="AB52" s="590">
        <v>250000</v>
      </c>
      <c r="AC52" s="591">
        <f t="shared" si="0"/>
        <v>750000</v>
      </c>
      <c r="AD52" s="603">
        <f>IF(B52="", "", IF(COUNTIF(X52,"*独自*"),"数式を削除して手入力",IFERROR(INDEX(【参考】数式用!$O$3:'【参考】数式用'!$Q$452,MATCH(Q52&amp;V52,【参考】数式用!$N$3:'【参考】数式用'!$N$452,0),MATCH(VLOOKUP(X52,【参考】数式用!$R$2:$S$46,2,FALSE),【参考】数式用!$O$2:$Q$2,0)),10)))</f>
        <v>10.27</v>
      </c>
      <c r="AE52" s="583" t="s">
        <v>2653</v>
      </c>
      <c r="AF52" s="241"/>
      <c r="AG52" s="719" t="s">
        <v>89</v>
      </c>
      <c r="AH52" s="251" t="s">
        <v>90</v>
      </c>
      <c r="AI52" s="252" t="s">
        <v>91</v>
      </c>
      <c r="AJ52" s="253">
        <f t="shared" si="2"/>
        <v>1</v>
      </c>
      <c r="AK52" s="716" t="str">
        <f>IF(AND(AJ52=AJ53, AJ53=AJ54, AJ54=AJ55), "一致", "不一致")</f>
        <v>一致</v>
      </c>
    </row>
    <row r="53" spans="1:37" ht="49.95" customHeight="1">
      <c r="A53" s="240">
        <f t="shared" si="1"/>
        <v>14</v>
      </c>
      <c r="B53" s="742" t="s">
        <v>2590</v>
      </c>
      <c r="C53" s="743"/>
      <c r="D53" s="743"/>
      <c r="E53" s="743"/>
      <c r="F53" s="743"/>
      <c r="G53" s="743"/>
      <c r="H53" s="743"/>
      <c r="I53" s="743"/>
      <c r="J53" s="743"/>
      <c r="K53" s="744"/>
      <c r="L53" s="739" t="s">
        <v>2536</v>
      </c>
      <c r="M53" s="740"/>
      <c r="N53" s="740"/>
      <c r="O53" s="740"/>
      <c r="P53" s="741"/>
      <c r="Q53" s="726" t="s">
        <v>2536</v>
      </c>
      <c r="R53" s="726"/>
      <c r="S53" s="726"/>
      <c r="T53" s="726"/>
      <c r="U53" s="726"/>
      <c r="V53" s="572" t="s">
        <v>2625</v>
      </c>
      <c r="W53" s="129" t="s">
        <v>2646</v>
      </c>
      <c r="X53" s="701" t="s">
        <v>92</v>
      </c>
      <c r="Y53" s="702" t="s">
        <v>92</v>
      </c>
      <c r="Z53" s="561" t="str">
        <f>IFERROR(VLOOKUP(X53, 【参考】数式用!$A$2:$B$46, 2, FALSE), "")</f>
        <v>27</v>
      </c>
      <c r="AA53" s="589">
        <v>1000000</v>
      </c>
      <c r="AB53" s="590">
        <v>250000</v>
      </c>
      <c r="AC53" s="591">
        <f t="shared" si="0"/>
        <v>750000</v>
      </c>
      <c r="AD53" s="603">
        <f>IF(B53="", "", IF(COUNTIF(X53,"*独自*"),"数式を削除して手入力",IFERROR(INDEX(【参考】数式用!$O$3:'【参考】数式用'!$Q$452,MATCH(Q53&amp;V53,【参考】数式用!$N$3:'【参考】数式用'!$N$452,0),MATCH(VLOOKUP(X53,【参考】数式用!$R$2:$S$46,2,FALSE),【参考】数式用!$O$2:$Q$2,0)),10)))</f>
        <v>10.27</v>
      </c>
      <c r="AE53" s="583" t="s">
        <v>2653</v>
      </c>
      <c r="AF53" s="241"/>
      <c r="AG53" s="719"/>
      <c r="AH53" s="251" t="s">
        <v>93</v>
      </c>
      <c r="AI53" s="252" t="s">
        <v>94</v>
      </c>
      <c r="AJ53" s="253">
        <f t="shared" si="2"/>
        <v>1</v>
      </c>
      <c r="AK53" s="716"/>
    </row>
    <row r="54" spans="1:37" ht="49.95" customHeight="1">
      <c r="A54" s="240">
        <f t="shared" si="1"/>
        <v>15</v>
      </c>
      <c r="B54" s="742" t="s">
        <v>2591</v>
      </c>
      <c r="C54" s="743"/>
      <c r="D54" s="743"/>
      <c r="E54" s="743"/>
      <c r="F54" s="743"/>
      <c r="G54" s="743"/>
      <c r="H54" s="743"/>
      <c r="I54" s="743"/>
      <c r="J54" s="743"/>
      <c r="K54" s="744"/>
      <c r="L54" s="739" t="s">
        <v>2536</v>
      </c>
      <c r="M54" s="740"/>
      <c r="N54" s="740"/>
      <c r="O54" s="740"/>
      <c r="P54" s="741"/>
      <c r="Q54" s="726" t="s">
        <v>2536</v>
      </c>
      <c r="R54" s="726"/>
      <c r="S54" s="726"/>
      <c r="T54" s="726"/>
      <c r="U54" s="726"/>
      <c r="V54" s="572" t="s">
        <v>2625</v>
      </c>
      <c r="W54" s="129" t="s">
        <v>2646</v>
      </c>
      <c r="X54" s="701" t="s">
        <v>95</v>
      </c>
      <c r="Y54" s="702" t="s">
        <v>95</v>
      </c>
      <c r="Z54" s="561" t="str">
        <f>IFERROR(VLOOKUP(X54, 【参考】数式用!$A$2:$B$46, 2, FALSE), "")</f>
        <v>35</v>
      </c>
      <c r="AA54" s="589">
        <v>1000000</v>
      </c>
      <c r="AB54" s="590">
        <v>250000</v>
      </c>
      <c r="AC54" s="591">
        <f t="shared" si="0"/>
        <v>750000</v>
      </c>
      <c r="AD54" s="603">
        <f>IF(B54="", "", IF(COUNTIF(X54,"*独自*"),"数式を削除して手入力",IFERROR(INDEX(【参考】数式用!$O$3:'【参考】数式用'!$Q$452,MATCH(Q54&amp;V54,【参考】数式用!$N$3:'【参考】数式用'!$N$452,0),MATCH(VLOOKUP(X54,【参考】数式用!$R$2:$S$46,2,FALSE),【参考】数式用!$O$2:$Q$2,0)),10)))</f>
        <v>10.27</v>
      </c>
      <c r="AE54" s="583" t="s">
        <v>2653</v>
      </c>
      <c r="AF54" s="241"/>
      <c r="AG54" s="719"/>
      <c r="AH54" s="251" t="s">
        <v>96</v>
      </c>
      <c r="AI54" s="252" t="s">
        <v>97</v>
      </c>
      <c r="AJ54" s="253">
        <f t="shared" si="2"/>
        <v>1</v>
      </c>
      <c r="AK54" s="716"/>
    </row>
    <row r="55" spans="1:37" ht="49.95" customHeight="1">
      <c r="A55" s="240">
        <f t="shared" si="1"/>
        <v>16</v>
      </c>
      <c r="B55" s="742" t="s">
        <v>2592</v>
      </c>
      <c r="C55" s="743"/>
      <c r="D55" s="743"/>
      <c r="E55" s="743"/>
      <c r="F55" s="743"/>
      <c r="G55" s="743"/>
      <c r="H55" s="743"/>
      <c r="I55" s="743"/>
      <c r="J55" s="743"/>
      <c r="K55" s="744"/>
      <c r="L55" s="739" t="s">
        <v>2629</v>
      </c>
      <c r="M55" s="740"/>
      <c r="N55" s="740"/>
      <c r="O55" s="740"/>
      <c r="P55" s="741"/>
      <c r="Q55" s="726" t="s">
        <v>2536</v>
      </c>
      <c r="R55" s="726"/>
      <c r="S55" s="726"/>
      <c r="T55" s="726"/>
      <c r="U55" s="726"/>
      <c r="V55" s="572" t="s">
        <v>2629</v>
      </c>
      <c r="W55" s="129" t="s">
        <v>2646</v>
      </c>
      <c r="X55" s="701" t="s">
        <v>98</v>
      </c>
      <c r="Y55" s="702" t="s">
        <v>98</v>
      </c>
      <c r="Z55" s="561" t="str">
        <f>IFERROR(VLOOKUP(X55, 【参考】数式用!$A$2:$B$46, 2, FALSE), "")</f>
        <v>36</v>
      </c>
      <c r="AA55" s="589">
        <v>1000000</v>
      </c>
      <c r="AB55" s="590">
        <v>250000</v>
      </c>
      <c r="AC55" s="591">
        <f t="shared" si="0"/>
        <v>750000</v>
      </c>
      <c r="AD55" s="603">
        <f>IF(B55="", "", IF(COUNTIF(X55,"*独自*"),"数式を削除して手入力",IFERROR(INDEX(【参考】数式用!$O$3:'【参考】数式用'!$Q$452,MATCH(Q55&amp;V55,【参考】数式用!$N$3:'【参考】数式用'!$N$452,0),MATCH(VLOOKUP(X55,【参考】数式用!$R$2:$S$46,2,FALSE),【参考】数式用!$O$2:$Q$2,0)),10)))</f>
        <v>10.14</v>
      </c>
      <c r="AE55" s="583" t="s">
        <v>2653</v>
      </c>
      <c r="AF55" s="241"/>
      <c r="AG55" s="719"/>
      <c r="AH55" s="251" t="s">
        <v>99</v>
      </c>
      <c r="AI55" s="252" t="s">
        <v>100</v>
      </c>
      <c r="AJ55" s="253">
        <f t="shared" si="2"/>
        <v>1</v>
      </c>
      <c r="AK55" s="716"/>
    </row>
    <row r="56" spans="1:37" ht="49.95" customHeight="1">
      <c r="A56" s="240">
        <f t="shared" si="1"/>
        <v>17</v>
      </c>
      <c r="B56" s="742" t="s">
        <v>2593</v>
      </c>
      <c r="C56" s="743"/>
      <c r="D56" s="743"/>
      <c r="E56" s="743"/>
      <c r="F56" s="743"/>
      <c r="G56" s="743"/>
      <c r="H56" s="743"/>
      <c r="I56" s="743"/>
      <c r="J56" s="743"/>
      <c r="K56" s="744"/>
      <c r="L56" s="739" t="s">
        <v>2629</v>
      </c>
      <c r="M56" s="740"/>
      <c r="N56" s="740"/>
      <c r="O56" s="740"/>
      <c r="P56" s="741"/>
      <c r="Q56" s="726" t="s">
        <v>2536</v>
      </c>
      <c r="R56" s="726"/>
      <c r="S56" s="726"/>
      <c r="T56" s="726"/>
      <c r="U56" s="726"/>
      <c r="V56" s="572" t="s">
        <v>2629</v>
      </c>
      <c r="W56" s="129" t="s">
        <v>2646</v>
      </c>
      <c r="X56" s="701" t="s">
        <v>101</v>
      </c>
      <c r="Y56" s="702" t="s">
        <v>101</v>
      </c>
      <c r="Z56" s="561" t="str">
        <f>IFERROR(VLOOKUP(X56, 【参考】数式用!$A$2:$B$46, 2, FALSE), "")</f>
        <v>28</v>
      </c>
      <c r="AA56" s="589">
        <v>1000000</v>
      </c>
      <c r="AB56" s="590">
        <v>250000</v>
      </c>
      <c r="AC56" s="591">
        <f t="shared" si="0"/>
        <v>750000</v>
      </c>
      <c r="AD56" s="603">
        <f>IF(B56="", "", IF(COUNTIF(X56,"*独自*"),"数式を削除して手入力",IFERROR(INDEX(【参考】数式用!$O$3:'【参考】数式用'!$Q$452,MATCH(Q56&amp;V56,【参考】数式用!$N$3:'【参考】数式用'!$N$452,0),MATCH(VLOOKUP(X56,【参考】数式用!$R$2:$S$46,2,FALSE),【参考】数式用!$O$2:$Q$2,0)),10)))</f>
        <v>10.14</v>
      </c>
      <c r="AE56" s="583" t="s">
        <v>2653</v>
      </c>
      <c r="AF56" s="241"/>
      <c r="AG56" s="719" t="s">
        <v>102</v>
      </c>
      <c r="AH56" s="251" t="s">
        <v>103</v>
      </c>
      <c r="AI56" s="252" t="s">
        <v>104</v>
      </c>
      <c r="AJ56" s="253">
        <f t="shared" si="2"/>
        <v>1</v>
      </c>
      <c r="AK56" s="716" t="str">
        <f>IF(AJ56=AJ57, "一致", "不一致")</f>
        <v>一致</v>
      </c>
    </row>
    <row r="57" spans="1:37" ht="49.95" customHeight="1">
      <c r="A57" s="240">
        <f t="shared" si="1"/>
        <v>18</v>
      </c>
      <c r="B57" s="742" t="s">
        <v>2594</v>
      </c>
      <c r="C57" s="743"/>
      <c r="D57" s="743"/>
      <c r="E57" s="743"/>
      <c r="F57" s="743"/>
      <c r="G57" s="743"/>
      <c r="H57" s="743"/>
      <c r="I57" s="743"/>
      <c r="J57" s="743"/>
      <c r="K57" s="744"/>
      <c r="L57" s="739" t="s">
        <v>2630</v>
      </c>
      <c r="M57" s="740"/>
      <c r="N57" s="740"/>
      <c r="O57" s="740"/>
      <c r="P57" s="741"/>
      <c r="Q57" s="726" t="s">
        <v>2536</v>
      </c>
      <c r="R57" s="726"/>
      <c r="S57" s="726"/>
      <c r="T57" s="726"/>
      <c r="U57" s="726"/>
      <c r="V57" s="572" t="s">
        <v>2630</v>
      </c>
      <c r="W57" s="129" t="s">
        <v>2644</v>
      </c>
      <c r="X57" s="701" t="s">
        <v>105</v>
      </c>
      <c r="Y57" s="702" t="s">
        <v>105</v>
      </c>
      <c r="Z57" s="561" t="str">
        <f>IFERROR(VLOOKUP(X57, 【参考】数式用!$A$2:$B$46, 2, FALSE), "")</f>
        <v>72</v>
      </c>
      <c r="AA57" s="589">
        <v>1000000</v>
      </c>
      <c r="AB57" s="590">
        <v>250000</v>
      </c>
      <c r="AC57" s="591">
        <f t="shared" si="0"/>
        <v>750000</v>
      </c>
      <c r="AD57" s="603">
        <f>IF(B57="", "", IF(COUNTIF(X57,"*独自*"),"数式を削除して手入力",IFERROR(INDEX(【参考】数式用!$O$3:'【参考】数式用'!$Q$452,MATCH(Q57&amp;V57,【参考】数式用!$N$3:'【参考】数式用'!$N$452,0),MATCH(VLOOKUP(X57,【参考】数式用!$R$2:$S$46,2,FALSE),【参考】数式用!$O$2:$Q$2,0)),10)))</f>
        <v>10.17</v>
      </c>
      <c r="AE57" s="583" t="s">
        <v>2653</v>
      </c>
      <c r="AF57" s="241"/>
      <c r="AG57" s="719"/>
      <c r="AH57" s="251" t="s">
        <v>106</v>
      </c>
      <c r="AI57" s="252" t="s">
        <v>107</v>
      </c>
      <c r="AJ57" s="253">
        <f t="shared" si="2"/>
        <v>1</v>
      </c>
      <c r="AK57" s="716"/>
    </row>
    <row r="58" spans="1:37" ht="49.95" customHeight="1">
      <c r="A58" s="240">
        <f t="shared" si="1"/>
        <v>19</v>
      </c>
      <c r="B58" s="742" t="s">
        <v>2595</v>
      </c>
      <c r="C58" s="743"/>
      <c r="D58" s="743"/>
      <c r="E58" s="743"/>
      <c r="F58" s="743"/>
      <c r="G58" s="743"/>
      <c r="H58" s="743"/>
      <c r="I58" s="743"/>
      <c r="J58" s="743"/>
      <c r="K58" s="744"/>
      <c r="L58" s="739" t="s">
        <v>2630</v>
      </c>
      <c r="M58" s="740"/>
      <c r="N58" s="740"/>
      <c r="O58" s="740"/>
      <c r="P58" s="741"/>
      <c r="Q58" s="726" t="s">
        <v>2536</v>
      </c>
      <c r="R58" s="726"/>
      <c r="S58" s="726"/>
      <c r="T58" s="726"/>
      <c r="U58" s="726"/>
      <c r="V58" s="572" t="s">
        <v>2630</v>
      </c>
      <c r="W58" s="129" t="s">
        <v>2644</v>
      </c>
      <c r="X58" s="701" t="s">
        <v>108</v>
      </c>
      <c r="Y58" s="702" t="s">
        <v>108</v>
      </c>
      <c r="Z58" s="561" t="str">
        <f>IFERROR(VLOOKUP(X58, 【参考】数式用!$A$2:$B$46, 2, FALSE), "")</f>
        <v>74</v>
      </c>
      <c r="AA58" s="589">
        <v>1000000</v>
      </c>
      <c r="AB58" s="590">
        <v>250000</v>
      </c>
      <c r="AC58" s="591">
        <f t="shared" si="0"/>
        <v>750000</v>
      </c>
      <c r="AD58" s="603">
        <f>IF(B58="", "", IF(COUNTIF(X58,"*独自*"),"数式を削除して手入力",IFERROR(INDEX(【参考】数式用!$O$3:'【参考】数式用'!$Q$452,MATCH(Q58&amp;V58,【参考】数式用!$N$3:'【参考】数式用'!$N$452,0),MATCH(VLOOKUP(X58,【参考】数式用!$R$2:$S$46,2,FALSE),【参考】数式用!$O$2:$Q$2,0)),10)))</f>
        <v>10.17</v>
      </c>
      <c r="AE58" s="583" t="s">
        <v>2653</v>
      </c>
      <c r="AF58" s="241"/>
      <c r="AG58" s="719" t="s">
        <v>109</v>
      </c>
      <c r="AH58" s="251" t="s">
        <v>110</v>
      </c>
      <c r="AI58" s="252" t="s">
        <v>111</v>
      </c>
      <c r="AJ58" s="253">
        <f t="shared" si="2"/>
        <v>1</v>
      </c>
      <c r="AK58" s="716" t="str">
        <f>IF(AND(AJ58=AJ59, AJ59=AJ60, AJ60=AJ61), "一致", "不一致")</f>
        <v>一致</v>
      </c>
    </row>
    <row r="59" spans="1:37" ht="49.95" customHeight="1">
      <c r="A59" s="240">
        <f t="shared" si="1"/>
        <v>20</v>
      </c>
      <c r="B59" s="742" t="s">
        <v>2596</v>
      </c>
      <c r="C59" s="743"/>
      <c r="D59" s="743"/>
      <c r="E59" s="743"/>
      <c r="F59" s="743"/>
      <c r="G59" s="743"/>
      <c r="H59" s="743"/>
      <c r="I59" s="743"/>
      <c r="J59" s="743"/>
      <c r="K59" s="744"/>
      <c r="L59" s="739" t="s">
        <v>2631</v>
      </c>
      <c r="M59" s="740"/>
      <c r="N59" s="740"/>
      <c r="O59" s="740"/>
      <c r="P59" s="741"/>
      <c r="Q59" s="726" t="s">
        <v>2536</v>
      </c>
      <c r="R59" s="726"/>
      <c r="S59" s="726"/>
      <c r="T59" s="726"/>
      <c r="U59" s="726"/>
      <c r="V59" s="572" t="s">
        <v>2631</v>
      </c>
      <c r="W59" s="129" t="s">
        <v>2647</v>
      </c>
      <c r="X59" s="701" t="s">
        <v>112</v>
      </c>
      <c r="Y59" s="702" t="s">
        <v>112</v>
      </c>
      <c r="Z59" s="561" t="str">
        <f>IFERROR(VLOOKUP(X59, 【参考】数式用!$A$2:$B$46, 2, FALSE), "")</f>
        <v>73</v>
      </c>
      <c r="AA59" s="589">
        <v>1000000</v>
      </c>
      <c r="AB59" s="590">
        <v>250000</v>
      </c>
      <c r="AC59" s="591">
        <f t="shared" si="0"/>
        <v>750000</v>
      </c>
      <c r="AD59" s="603">
        <f>IF(B59="", "", IF(COUNTIF(X59,"*独自*"),"数式を削除して手入力",IFERROR(INDEX(【参考】数式用!$O$3:'【参考】数式用'!$Q$452,MATCH(Q59&amp;V59,【参考】数式用!$N$3:'【参考】数式用'!$N$452,0),MATCH(VLOOKUP(X59,【参考】数式用!$R$2:$S$46,2,FALSE),【参考】数式用!$O$2:$Q$2,0)),10)))</f>
        <v>10</v>
      </c>
      <c r="AE59" s="583" t="s">
        <v>2653</v>
      </c>
      <c r="AF59" s="241"/>
      <c r="AG59" s="719"/>
      <c r="AH59" s="251" t="s">
        <v>113</v>
      </c>
      <c r="AI59" s="252" t="s">
        <v>114</v>
      </c>
      <c r="AJ59" s="253">
        <f t="shared" si="2"/>
        <v>1</v>
      </c>
      <c r="AK59" s="716"/>
    </row>
    <row r="60" spans="1:37" ht="49.95" customHeight="1">
      <c r="A60" s="240">
        <f t="shared" si="1"/>
        <v>21</v>
      </c>
      <c r="B60" s="742" t="s">
        <v>2597</v>
      </c>
      <c r="C60" s="743"/>
      <c r="D60" s="743"/>
      <c r="E60" s="743"/>
      <c r="F60" s="743"/>
      <c r="G60" s="743"/>
      <c r="H60" s="743"/>
      <c r="I60" s="743"/>
      <c r="J60" s="743"/>
      <c r="K60" s="744"/>
      <c r="L60" s="739" t="s">
        <v>2631</v>
      </c>
      <c r="M60" s="740"/>
      <c r="N60" s="740"/>
      <c r="O60" s="740"/>
      <c r="P60" s="741"/>
      <c r="Q60" s="726" t="s">
        <v>2536</v>
      </c>
      <c r="R60" s="726"/>
      <c r="S60" s="726"/>
      <c r="T60" s="726"/>
      <c r="U60" s="726"/>
      <c r="V60" s="572" t="s">
        <v>2631</v>
      </c>
      <c r="W60" s="129" t="s">
        <v>2647</v>
      </c>
      <c r="X60" s="701" t="s">
        <v>115</v>
      </c>
      <c r="Y60" s="702" t="s">
        <v>115</v>
      </c>
      <c r="Z60" s="561" t="str">
        <f>IFERROR(VLOOKUP(X60, 【参考】数式用!$A$2:$B$46, 2, FALSE), "")</f>
        <v>68</v>
      </c>
      <c r="AA60" s="589">
        <v>1000000</v>
      </c>
      <c r="AB60" s="590">
        <v>250000</v>
      </c>
      <c r="AC60" s="591">
        <f t="shared" si="0"/>
        <v>750000</v>
      </c>
      <c r="AD60" s="603">
        <f>IF(B60="", "", IF(COUNTIF(X60,"*独自*"),"数式を削除して手入力",IFERROR(INDEX(【参考】数式用!$O$3:'【参考】数式用'!$Q$452,MATCH(Q60&amp;V60,【参考】数式用!$N$3:'【参考】数式用'!$N$452,0),MATCH(VLOOKUP(X60,【参考】数式用!$R$2:$S$46,2,FALSE),【参考】数式用!$O$2:$Q$2,0)),10)))</f>
        <v>10</v>
      </c>
      <c r="AE60" s="583" t="s">
        <v>2653</v>
      </c>
      <c r="AF60" s="241"/>
      <c r="AG60" s="719"/>
      <c r="AH60" s="251" t="s">
        <v>116</v>
      </c>
      <c r="AI60" s="252" t="s">
        <v>117</v>
      </c>
      <c r="AJ60" s="253">
        <f t="shared" si="2"/>
        <v>1</v>
      </c>
      <c r="AK60" s="716"/>
    </row>
    <row r="61" spans="1:37" ht="49.95" customHeight="1">
      <c r="A61" s="240">
        <f t="shared" si="1"/>
        <v>22</v>
      </c>
      <c r="B61" s="742" t="s">
        <v>2598</v>
      </c>
      <c r="C61" s="743"/>
      <c r="D61" s="743"/>
      <c r="E61" s="743"/>
      <c r="F61" s="743"/>
      <c r="G61" s="743"/>
      <c r="H61" s="743"/>
      <c r="I61" s="743"/>
      <c r="J61" s="743"/>
      <c r="K61" s="744"/>
      <c r="L61" s="739" t="s">
        <v>2631</v>
      </c>
      <c r="M61" s="740"/>
      <c r="N61" s="740"/>
      <c r="O61" s="740"/>
      <c r="P61" s="741"/>
      <c r="Q61" s="726" t="s">
        <v>2536</v>
      </c>
      <c r="R61" s="726"/>
      <c r="S61" s="726"/>
      <c r="T61" s="726"/>
      <c r="U61" s="726"/>
      <c r="V61" s="572" t="s">
        <v>2631</v>
      </c>
      <c r="W61" s="129" t="s">
        <v>2647</v>
      </c>
      <c r="X61" s="701" t="s">
        <v>118</v>
      </c>
      <c r="Y61" s="702" t="s">
        <v>118</v>
      </c>
      <c r="Z61" s="561" t="str">
        <f>IFERROR(VLOOKUP(X61, 【参考】数式用!$A$2:$B$46, 2, FALSE), "")</f>
        <v>75</v>
      </c>
      <c r="AA61" s="589">
        <v>1000000</v>
      </c>
      <c r="AB61" s="590">
        <v>250000</v>
      </c>
      <c r="AC61" s="591">
        <f t="shared" si="0"/>
        <v>750000</v>
      </c>
      <c r="AD61" s="603">
        <f>IF(B61="", "", IF(COUNTIF(X61,"*独自*"),"数式を削除して手入力",IFERROR(INDEX(【参考】数式用!$O$3:'【参考】数式用'!$Q$452,MATCH(Q61&amp;V61,【参考】数式用!$N$3:'【参考】数式用'!$N$452,0),MATCH(VLOOKUP(X61,【参考】数式用!$R$2:$S$46,2,FALSE),【参考】数式用!$O$2:$Q$2,0)),10)))</f>
        <v>10</v>
      </c>
      <c r="AE61" s="583" t="s">
        <v>2653</v>
      </c>
      <c r="AF61" s="241"/>
      <c r="AG61" s="719"/>
      <c r="AH61" s="251" t="s">
        <v>119</v>
      </c>
      <c r="AI61" s="252" t="s">
        <v>120</v>
      </c>
      <c r="AJ61" s="253">
        <f t="shared" si="2"/>
        <v>1</v>
      </c>
      <c r="AK61" s="716"/>
    </row>
    <row r="62" spans="1:37" ht="49.95" customHeight="1">
      <c r="A62" s="240">
        <f t="shared" si="1"/>
        <v>23</v>
      </c>
      <c r="B62" s="742" t="s">
        <v>2599</v>
      </c>
      <c r="C62" s="743"/>
      <c r="D62" s="743"/>
      <c r="E62" s="743"/>
      <c r="F62" s="743"/>
      <c r="G62" s="743"/>
      <c r="H62" s="743"/>
      <c r="I62" s="743"/>
      <c r="J62" s="743"/>
      <c r="K62" s="744"/>
      <c r="L62" s="739" t="s">
        <v>2631</v>
      </c>
      <c r="M62" s="740"/>
      <c r="N62" s="740"/>
      <c r="O62" s="740"/>
      <c r="P62" s="741"/>
      <c r="Q62" s="726" t="s">
        <v>2536</v>
      </c>
      <c r="R62" s="726"/>
      <c r="S62" s="726"/>
      <c r="T62" s="726"/>
      <c r="U62" s="726"/>
      <c r="V62" s="572" t="s">
        <v>2631</v>
      </c>
      <c r="W62" s="129" t="s">
        <v>2647</v>
      </c>
      <c r="X62" s="701" t="s">
        <v>121</v>
      </c>
      <c r="Y62" s="702" t="s">
        <v>121</v>
      </c>
      <c r="Z62" s="561" t="str">
        <f>IFERROR(VLOOKUP(X62, 【参考】数式用!$A$2:$B$46, 2, FALSE), "")</f>
        <v>69</v>
      </c>
      <c r="AA62" s="589">
        <v>1000000</v>
      </c>
      <c r="AB62" s="590">
        <v>250000</v>
      </c>
      <c r="AC62" s="591">
        <f t="shared" si="0"/>
        <v>750000</v>
      </c>
      <c r="AD62" s="603">
        <f>IF(B62="", "", IF(COUNTIF(X62,"*独自*"),"数式を削除して手入力",IFERROR(INDEX(【参考】数式用!$O$3:'【参考】数式用'!$Q$452,MATCH(Q62&amp;V62,【参考】数式用!$N$3:'【参考】数式用'!$N$452,0),MATCH(VLOOKUP(X62,【参考】数式用!$R$2:$S$46,2,FALSE),【参考】数式用!$O$2:$Q$2,0)),10)))</f>
        <v>10</v>
      </c>
      <c r="AE62" s="583" t="s">
        <v>2653</v>
      </c>
      <c r="AF62" s="241"/>
      <c r="AG62" s="719" t="s">
        <v>122</v>
      </c>
      <c r="AH62" s="251" t="s">
        <v>123</v>
      </c>
      <c r="AI62" s="252" t="s">
        <v>124</v>
      </c>
      <c r="AJ62" s="253">
        <f t="shared" si="2"/>
        <v>1</v>
      </c>
      <c r="AK62" s="716" t="str">
        <f>IF(AJ62=AJ63, "一致", "不一致")</f>
        <v>一致</v>
      </c>
    </row>
    <row r="63" spans="1:37" ht="49.95" customHeight="1">
      <c r="A63" s="240">
        <f t="shared" si="1"/>
        <v>24</v>
      </c>
      <c r="B63" s="742" t="s">
        <v>2600</v>
      </c>
      <c r="C63" s="743"/>
      <c r="D63" s="743"/>
      <c r="E63" s="743"/>
      <c r="F63" s="743"/>
      <c r="G63" s="743"/>
      <c r="H63" s="743"/>
      <c r="I63" s="743"/>
      <c r="J63" s="743"/>
      <c r="K63" s="744"/>
      <c r="L63" s="739" t="s">
        <v>2632</v>
      </c>
      <c r="M63" s="740"/>
      <c r="N63" s="740"/>
      <c r="O63" s="740"/>
      <c r="P63" s="741"/>
      <c r="Q63" s="726" t="s">
        <v>2536</v>
      </c>
      <c r="R63" s="726"/>
      <c r="S63" s="726"/>
      <c r="T63" s="726"/>
      <c r="U63" s="726"/>
      <c r="V63" s="572" t="s">
        <v>2632</v>
      </c>
      <c r="W63" s="129" t="s">
        <v>2648</v>
      </c>
      <c r="X63" s="701" t="s">
        <v>125</v>
      </c>
      <c r="Y63" s="702" t="s">
        <v>125</v>
      </c>
      <c r="Z63" s="561" t="str">
        <f>IFERROR(VLOOKUP(X63, 【参考】数式用!$A$2:$B$46, 2, FALSE), "")</f>
        <v>77</v>
      </c>
      <c r="AA63" s="589">
        <v>1000000</v>
      </c>
      <c r="AB63" s="590">
        <v>250000</v>
      </c>
      <c r="AC63" s="591">
        <f t="shared" si="0"/>
        <v>750000</v>
      </c>
      <c r="AD63" s="603">
        <f>IF(B63="", "", IF(COUNTIF(X63,"*独自*"),"数式を削除して手入力",IFERROR(INDEX(【参考】数式用!$O$3:'【参考】数式用'!$Q$452,MATCH(Q63&amp;V63,【参考】数式用!$N$3:'【参考】数式用'!$N$452,0),MATCH(VLOOKUP(X63,【参考】数式用!$R$2:$S$46,2,FALSE),【参考】数式用!$O$2:$Q$2,0)),10)))</f>
        <v>10.17</v>
      </c>
      <c r="AE63" s="583" t="s">
        <v>2653</v>
      </c>
      <c r="AF63" s="241"/>
      <c r="AG63" s="719"/>
      <c r="AH63" s="251" t="s">
        <v>126</v>
      </c>
      <c r="AI63" s="252" t="s">
        <v>127</v>
      </c>
      <c r="AJ63" s="253">
        <f t="shared" si="2"/>
        <v>1</v>
      </c>
      <c r="AK63" s="716"/>
    </row>
    <row r="64" spans="1:37" ht="49.95" customHeight="1">
      <c r="A64" s="240">
        <f t="shared" si="1"/>
        <v>25</v>
      </c>
      <c r="B64" s="742" t="s">
        <v>2601</v>
      </c>
      <c r="C64" s="743"/>
      <c r="D64" s="743"/>
      <c r="E64" s="743"/>
      <c r="F64" s="743"/>
      <c r="G64" s="743"/>
      <c r="H64" s="743"/>
      <c r="I64" s="743"/>
      <c r="J64" s="743"/>
      <c r="K64" s="744"/>
      <c r="L64" s="739" t="s">
        <v>2632</v>
      </c>
      <c r="M64" s="740"/>
      <c r="N64" s="740"/>
      <c r="O64" s="740"/>
      <c r="P64" s="741"/>
      <c r="Q64" s="726" t="s">
        <v>2536</v>
      </c>
      <c r="R64" s="726"/>
      <c r="S64" s="726"/>
      <c r="T64" s="726"/>
      <c r="U64" s="726"/>
      <c r="V64" s="572" t="s">
        <v>2632</v>
      </c>
      <c r="W64" s="129" t="s">
        <v>2648</v>
      </c>
      <c r="X64" s="701" t="s">
        <v>128</v>
      </c>
      <c r="Y64" s="702" t="s">
        <v>128</v>
      </c>
      <c r="Z64" s="561" t="str">
        <f>IFERROR(VLOOKUP(X64, 【参考】数式用!$A$2:$B$46, 2, FALSE), "")</f>
        <v>79</v>
      </c>
      <c r="AA64" s="589">
        <v>1000000</v>
      </c>
      <c r="AB64" s="590">
        <v>250000</v>
      </c>
      <c r="AC64" s="591">
        <f t="shared" si="0"/>
        <v>750000</v>
      </c>
      <c r="AD64" s="603">
        <f>IF(B64="", "", IF(COUNTIF(X64,"*独自*"),"数式を削除して手入力",IFERROR(INDEX(【参考】数式用!$O$3:'【参考】数式用'!$Q$452,MATCH(Q64&amp;V64,【参考】数式用!$N$3:'【参考】数式用'!$N$452,0),MATCH(VLOOKUP(X64,【参考】数式用!$R$2:$S$46,2,FALSE),【参考】数式用!$O$2:$Q$2,0)),10)))</f>
        <v>10.17</v>
      </c>
      <c r="AE64" s="583" t="s">
        <v>2653</v>
      </c>
      <c r="AF64" s="241"/>
      <c r="AG64" s="715" t="s">
        <v>129</v>
      </c>
      <c r="AH64" s="251" t="s">
        <v>130</v>
      </c>
      <c r="AI64" s="252" t="s">
        <v>131</v>
      </c>
      <c r="AJ64" s="253">
        <f t="shared" si="2"/>
        <v>1</v>
      </c>
      <c r="AK64" s="716" t="str">
        <f>IF(AJ64=AJ65, "一致", "不一致")</f>
        <v>一致</v>
      </c>
    </row>
    <row r="65" spans="1:37" ht="49.95" customHeight="1">
      <c r="A65" s="240">
        <f t="shared" si="1"/>
        <v>26</v>
      </c>
      <c r="B65" s="742" t="s">
        <v>2602</v>
      </c>
      <c r="C65" s="743"/>
      <c r="D65" s="743"/>
      <c r="E65" s="743"/>
      <c r="F65" s="743"/>
      <c r="G65" s="743"/>
      <c r="H65" s="743"/>
      <c r="I65" s="743"/>
      <c r="J65" s="743"/>
      <c r="K65" s="744"/>
      <c r="L65" s="739" t="s">
        <v>2633</v>
      </c>
      <c r="M65" s="740"/>
      <c r="N65" s="740"/>
      <c r="O65" s="740"/>
      <c r="P65" s="741"/>
      <c r="Q65" s="726" t="s">
        <v>2536</v>
      </c>
      <c r="R65" s="726"/>
      <c r="S65" s="726"/>
      <c r="T65" s="726"/>
      <c r="U65" s="726"/>
      <c r="V65" s="572" t="s">
        <v>2633</v>
      </c>
      <c r="W65" s="129" t="s">
        <v>2649</v>
      </c>
      <c r="X65" s="701" t="s">
        <v>132</v>
      </c>
      <c r="Y65" s="702" t="s">
        <v>132</v>
      </c>
      <c r="Z65" s="561" t="str">
        <f>IFERROR(VLOOKUP(X65, 【参考】数式用!$A$2:$B$46, 2, FALSE), "")</f>
        <v>32</v>
      </c>
      <c r="AA65" s="589">
        <v>1000000</v>
      </c>
      <c r="AB65" s="590">
        <v>250000</v>
      </c>
      <c r="AC65" s="591">
        <f t="shared" si="0"/>
        <v>750000</v>
      </c>
      <c r="AD65" s="603">
        <f>IF(B65="", "", IF(COUNTIF(X65,"*独自*"),"数式を削除して手入力",IFERROR(INDEX(【参考】数式用!$O$3:'【参考】数式用'!$Q$452,MATCH(Q65&amp;V65,【参考】数式用!$N$3:'【参考】数式用'!$N$452,0),MATCH(VLOOKUP(X65,【参考】数式用!$R$2:$S$46,2,FALSE),【参考】数式用!$O$2:$Q$2,0)),10)))</f>
        <v>10.27</v>
      </c>
      <c r="AE65" s="583" t="s">
        <v>2653</v>
      </c>
      <c r="AF65" s="241"/>
      <c r="AG65" s="715"/>
      <c r="AH65" s="251" t="s">
        <v>133</v>
      </c>
      <c r="AI65" s="252" t="s">
        <v>134</v>
      </c>
      <c r="AJ65" s="253">
        <f t="shared" si="2"/>
        <v>1</v>
      </c>
      <c r="AK65" s="716"/>
    </row>
    <row r="66" spans="1:37" ht="49.95" customHeight="1">
      <c r="A66" s="240">
        <f t="shared" si="1"/>
        <v>27</v>
      </c>
      <c r="B66" s="742" t="s">
        <v>2603</v>
      </c>
      <c r="C66" s="743"/>
      <c r="D66" s="743"/>
      <c r="E66" s="743"/>
      <c r="F66" s="743"/>
      <c r="G66" s="743"/>
      <c r="H66" s="743"/>
      <c r="I66" s="743"/>
      <c r="J66" s="743"/>
      <c r="K66" s="744"/>
      <c r="L66" s="739" t="s">
        <v>2633</v>
      </c>
      <c r="M66" s="740"/>
      <c r="N66" s="740"/>
      <c r="O66" s="740"/>
      <c r="P66" s="741"/>
      <c r="Q66" s="726" t="s">
        <v>2536</v>
      </c>
      <c r="R66" s="726"/>
      <c r="S66" s="726"/>
      <c r="T66" s="726"/>
      <c r="U66" s="726"/>
      <c r="V66" s="572" t="s">
        <v>2633</v>
      </c>
      <c r="W66" s="129" t="s">
        <v>2649</v>
      </c>
      <c r="X66" s="701" t="s">
        <v>135</v>
      </c>
      <c r="Y66" s="702" t="s">
        <v>135</v>
      </c>
      <c r="Z66" s="561" t="str">
        <f>IFERROR(VLOOKUP(X66, 【参考】数式用!$A$2:$B$46, 2, FALSE), "")</f>
        <v>38</v>
      </c>
      <c r="AA66" s="589">
        <v>1000000</v>
      </c>
      <c r="AB66" s="590">
        <v>250000</v>
      </c>
      <c r="AC66" s="591">
        <f t="shared" si="0"/>
        <v>750000</v>
      </c>
      <c r="AD66" s="603">
        <f>IF(B66="", "", IF(COUNTIF(X66,"*独自*"),"数式を削除して手入力",IFERROR(INDEX(【参考】数式用!$O$3:'【参考】数式用'!$Q$452,MATCH(Q66&amp;V66,【参考】数式用!$N$3:'【参考】数式用'!$N$452,0),MATCH(VLOOKUP(X66,【参考】数式用!$R$2:$S$46,2,FALSE),【参考】数式用!$O$2:$Q$2,0)),10)))</f>
        <v>10.27</v>
      </c>
      <c r="AE66" s="583" t="s">
        <v>2653</v>
      </c>
      <c r="AF66" s="241"/>
      <c r="AG66" s="715" t="s">
        <v>136</v>
      </c>
      <c r="AH66" s="251" t="s">
        <v>137</v>
      </c>
      <c r="AI66" s="252" t="s">
        <v>138</v>
      </c>
      <c r="AJ66" s="253">
        <f t="shared" si="2"/>
        <v>1</v>
      </c>
      <c r="AK66" s="716" t="str">
        <f>IF(AJ66=AJ67, "一致", "不一致")</f>
        <v>一致</v>
      </c>
    </row>
    <row r="67" spans="1:37" ht="49.95" customHeight="1">
      <c r="A67" s="240">
        <f t="shared" si="1"/>
        <v>28</v>
      </c>
      <c r="B67" s="742" t="s">
        <v>2604</v>
      </c>
      <c r="C67" s="743"/>
      <c r="D67" s="743"/>
      <c r="E67" s="743"/>
      <c r="F67" s="743"/>
      <c r="G67" s="743"/>
      <c r="H67" s="743"/>
      <c r="I67" s="743"/>
      <c r="J67" s="743"/>
      <c r="K67" s="744"/>
      <c r="L67" s="739" t="s">
        <v>2633</v>
      </c>
      <c r="M67" s="740"/>
      <c r="N67" s="740"/>
      <c r="O67" s="740"/>
      <c r="P67" s="741"/>
      <c r="Q67" s="726" t="s">
        <v>2536</v>
      </c>
      <c r="R67" s="726"/>
      <c r="S67" s="726"/>
      <c r="T67" s="726"/>
      <c r="U67" s="726"/>
      <c r="V67" s="572" t="s">
        <v>2633</v>
      </c>
      <c r="W67" s="129" t="s">
        <v>2649</v>
      </c>
      <c r="X67" s="701" t="s">
        <v>139</v>
      </c>
      <c r="Y67" s="702" t="s">
        <v>139</v>
      </c>
      <c r="Z67" s="561" t="str">
        <f>IFERROR(VLOOKUP(X67, 【参考】数式用!$A$2:$B$46, 2, FALSE), "")</f>
        <v>37</v>
      </c>
      <c r="AA67" s="589">
        <v>1000000</v>
      </c>
      <c r="AB67" s="590">
        <v>250000</v>
      </c>
      <c r="AC67" s="591">
        <f t="shared" si="0"/>
        <v>750000</v>
      </c>
      <c r="AD67" s="603">
        <f>IF(B67="", "", IF(COUNTIF(X67,"*独自*"),"数式を削除して手入力",IFERROR(INDEX(【参考】数式用!$O$3:'【参考】数式用'!$Q$452,MATCH(Q67&amp;V67,【参考】数式用!$N$3:'【参考】数式用'!$N$452,0),MATCH(VLOOKUP(X67,【参考】数式用!$R$2:$S$46,2,FALSE),【参考】数式用!$O$2:$Q$2,0)),10)))</f>
        <v>10.27</v>
      </c>
      <c r="AE67" s="583" t="s">
        <v>2653</v>
      </c>
      <c r="AF67" s="241"/>
      <c r="AG67" s="715"/>
      <c r="AH67" s="251" t="s">
        <v>140</v>
      </c>
      <c r="AI67" s="252" t="s">
        <v>141</v>
      </c>
      <c r="AJ67" s="253">
        <f t="shared" si="2"/>
        <v>1</v>
      </c>
      <c r="AK67" s="716"/>
    </row>
    <row r="68" spans="1:37" ht="49.95" customHeight="1">
      <c r="A68" s="240">
        <f t="shared" si="1"/>
        <v>29</v>
      </c>
      <c r="B68" s="742" t="s">
        <v>2605</v>
      </c>
      <c r="C68" s="743"/>
      <c r="D68" s="743"/>
      <c r="E68" s="743"/>
      <c r="F68" s="743"/>
      <c r="G68" s="743"/>
      <c r="H68" s="743"/>
      <c r="I68" s="743"/>
      <c r="J68" s="743"/>
      <c r="K68" s="744"/>
      <c r="L68" s="739" t="s">
        <v>2633</v>
      </c>
      <c r="M68" s="740"/>
      <c r="N68" s="740"/>
      <c r="O68" s="740"/>
      <c r="P68" s="741"/>
      <c r="Q68" s="726" t="s">
        <v>2536</v>
      </c>
      <c r="R68" s="726"/>
      <c r="S68" s="726"/>
      <c r="T68" s="726"/>
      <c r="U68" s="726"/>
      <c r="V68" s="572" t="s">
        <v>2633</v>
      </c>
      <c r="W68" s="129" t="s">
        <v>2649</v>
      </c>
      <c r="X68" s="701" t="s">
        <v>142</v>
      </c>
      <c r="Y68" s="702" t="s">
        <v>142</v>
      </c>
      <c r="Z68" s="561" t="str">
        <f>IFERROR(VLOOKUP(X68, 【参考】数式用!$A$2:$B$46, 2, FALSE), "")</f>
        <v>39</v>
      </c>
      <c r="AA68" s="589">
        <v>1000000</v>
      </c>
      <c r="AB68" s="590">
        <v>250000</v>
      </c>
      <c r="AC68" s="591">
        <f t="shared" si="0"/>
        <v>750000</v>
      </c>
      <c r="AD68" s="603">
        <f>IF(B68="", "", IF(COUNTIF(X68,"*独自*"),"数式を削除して手入力",IFERROR(INDEX(【参考】数式用!$O$3:'【参考】数式用'!$Q$452,MATCH(Q68&amp;V68,【参考】数式用!$N$3:'【参考】数式用'!$N$452,0),MATCH(VLOOKUP(X68,【参考】数式用!$R$2:$S$46,2,FALSE),【参考】数式用!$O$2:$Q$2,0)),10)))</f>
        <v>10.27</v>
      </c>
      <c r="AE68" s="583" t="s">
        <v>2653</v>
      </c>
      <c r="AF68" s="241"/>
      <c r="AG68" s="715" t="s">
        <v>143</v>
      </c>
      <c r="AH68" s="251" t="s">
        <v>144</v>
      </c>
      <c r="AI68" s="252" t="s">
        <v>145</v>
      </c>
      <c r="AJ68" s="253">
        <f t="shared" si="2"/>
        <v>1</v>
      </c>
      <c r="AK68" s="716" t="str">
        <f>IF(AJ68=AJ69, "一致", "不一致")</f>
        <v>一致</v>
      </c>
    </row>
    <row r="69" spans="1:37" ht="49.95" customHeight="1">
      <c r="A69" s="240">
        <f t="shared" si="1"/>
        <v>30</v>
      </c>
      <c r="B69" s="742" t="s">
        <v>2606</v>
      </c>
      <c r="C69" s="743"/>
      <c r="D69" s="743"/>
      <c r="E69" s="743"/>
      <c r="F69" s="743"/>
      <c r="G69" s="743"/>
      <c r="H69" s="743"/>
      <c r="I69" s="743"/>
      <c r="J69" s="743"/>
      <c r="K69" s="744"/>
      <c r="L69" s="739" t="s">
        <v>2536</v>
      </c>
      <c r="M69" s="740"/>
      <c r="N69" s="740"/>
      <c r="O69" s="740"/>
      <c r="P69" s="741"/>
      <c r="Q69" s="726" t="s">
        <v>2536</v>
      </c>
      <c r="R69" s="726"/>
      <c r="S69" s="726"/>
      <c r="T69" s="726"/>
      <c r="U69" s="726"/>
      <c r="V69" s="572" t="s">
        <v>2625</v>
      </c>
      <c r="W69" s="129" t="s">
        <v>2650</v>
      </c>
      <c r="X69" s="701" t="s">
        <v>146</v>
      </c>
      <c r="Y69" s="702" t="s">
        <v>146</v>
      </c>
      <c r="Z69" s="561" t="str">
        <f>IFERROR(VLOOKUP(X69, 【参考】数式用!$A$2:$B$46, 2, FALSE), "")</f>
        <v>51</v>
      </c>
      <c r="AA69" s="589">
        <v>1000000</v>
      </c>
      <c r="AB69" s="590">
        <v>250000</v>
      </c>
      <c r="AC69" s="591">
        <f t="shared" si="0"/>
        <v>750000</v>
      </c>
      <c r="AD69" s="603">
        <f>IF(B69="", "", IF(COUNTIF(X69,"*独自*"),"数式を削除して手入力",IFERROR(INDEX(【参考】数式用!$O$3:'【参考】数式用'!$Q$452,MATCH(Q69&amp;V69,【参考】数式用!$N$3:'【参考】数式用'!$N$452,0),MATCH(VLOOKUP(X69,【参考】数式用!$R$2:$S$46,2,FALSE),【参考】数式用!$O$2:$Q$2,0)),10)))</f>
        <v>10.27</v>
      </c>
      <c r="AE69" s="583" t="s">
        <v>2653</v>
      </c>
      <c r="AF69" s="241"/>
      <c r="AG69" s="715"/>
      <c r="AH69" s="251" t="s">
        <v>147</v>
      </c>
      <c r="AI69" s="252" t="s">
        <v>148</v>
      </c>
      <c r="AJ69" s="253">
        <f t="shared" si="2"/>
        <v>1</v>
      </c>
      <c r="AK69" s="716"/>
    </row>
    <row r="70" spans="1:37" ht="49.95" customHeight="1">
      <c r="A70" s="240">
        <f t="shared" si="1"/>
        <v>31</v>
      </c>
      <c r="B70" s="742" t="s">
        <v>2607</v>
      </c>
      <c r="C70" s="743"/>
      <c r="D70" s="743"/>
      <c r="E70" s="743"/>
      <c r="F70" s="743"/>
      <c r="G70" s="743"/>
      <c r="H70" s="743"/>
      <c r="I70" s="743"/>
      <c r="J70" s="743"/>
      <c r="K70" s="744"/>
      <c r="L70" s="739" t="s">
        <v>2634</v>
      </c>
      <c r="M70" s="740"/>
      <c r="N70" s="740"/>
      <c r="O70" s="740"/>
      <c r="P70" s="741"/>
      <c r="Q70" s="726" t="s">
        <v>2536</v>
      </c>
      <c r="R70" s="726"/>
      <c r="S70" s="726"/>
      <c r="T70" s="726"/>
      <c r="U70" s="726"/>
      <c r="V70" s="572" t="s">
        <v>2634</v>
      </c>
      <c r="W70" s="129" t="s">
        <v>2650</v>
      </c>
      <c r="X70" s="701" t="s">
        <v>149</v>
      </c>
      <c r="Y70" s="702" t="s">
        <v>149</v>
      </c>
      <c r="Z70" s="561" t="str">
        <f>IFERROR(VLOOKUP(X70, 【参考】数式用!$A$2:$B$46, 2, FALSE), "")</f>
        <v>54</v>
      </c>
      <c r="AA70" s="589">
        <v>1000000</v>
      </c>
      <c r="AB70" s="590">
        <v>250000</v>
      </c>
      <c r="AC70" s="591">
        <f t="shared" si="0"/>
        <v>750000</v>
      </c>
      <c r="AD70" s="603">
        <f>IF(B70="", "", IF(COUNTIF(X70,"*独自*"),"数式を削除して手入力",IFERROR(INDEX(【参考】数式用!$O$3:'【参考】数式用'!$Q$452,MATCH(Q70&amp;V70,【参考】数式用!$N$3:'【参考】数式用'!$N$452,0),MATCH(VLOOKUP(X70,【参考】数式用!$R$2:$S$46,2,FALSE),【参考】数式用!$O$2:$Q$2,0)),10)))</f>
        <v>10.14</v>
      </c>
      <c r="AE70" s="583" t="s">
        <v>2653</v>
      </c>
      <c r="AF70" s="241"/>
      <c r="AG70" s="715" t="s">
        <v>150</v>
      </c>
      <c r="AH70" s="251" t="s">
        <v>151</v>
      </c>
      <c r="AI70" s="252" t="s">
        <v>152</v>
      </c>
      <c r="AJ70" s="253">
        <f t="shared" si="2"/>
        <v>1</v>
      </c>
      <c r="AK70" s="716" t="str">
        <f>IF(AJ70=AJ71, "一致", "不一致")</f>
        <v>一致</v>
      </c>
    </row>
    <row r="71" spans="1:37" ht="49.95" customHeight="1">
      <c r="A71" s="240">
        <f t="shared" si="1"/>
        <v>32</v>
      </c>
      <c r="B71" s="742" t="s">
        <v>2608</v>
      </c>
      <c r="C71" s="743"/>
      <c r="D71" s="743"/>
      <c r="E71" s="743"/>
      <c r="F71" s="743"/>
      <c r="G71" s="743"/>
      <c r="H71" s="743"/>
      <c r="I71" s="743"/>
      <c r="J71" s="743"/>
      <c r="K71" s="744"/>
      <c r="L71" s="739" t="s">
        <v>2536</v>
      </c>
      <c r="M71" s="740"/>
      <c r="N71" s="740"/>
      <c r="O71" s="740"/>
      <c r="P71" s="741"/>
      <c r="Q71" s="726" t="s">
        <v>2536</v>
      </c>
      <c r="R71" s="726"/>
      <c r="S71" s="726"/>
      <c r="T71" s="726"/>
      <c r="U71" s="726"/>
      <c r="V71" s="572" t="s">
        <v>2625</v>
      </c>
      <c r="W71" s="129" t="s">
        <v>2650</v>
      </c>
      <c r="X71" s="701" t="s">
        <v>123</v>
      </c>
      <c r="Y71" s="702" t="s">
        <v>123</v>
      </c>
      <c r="Z71" s="561" t="str">
        <f>IFERROR(VLOOKUP(X71, 【参考】数式用!$A$2:$B$46, 2, FALSE), "")</f>
        <v>21</v>
      </c>
      <c r="AA71" s="589">
        <v>1000000</v>
      </c>
      <c r="AB71" s="590">
        <v>250000</v>
      </c>
      <c r="AC71" s="591">
        <f t="shared" si="0"/>
        <v>750000</v>
      </c>
      <c r="AD71" s="603">
        <f>IF(B71="", "", IF(COUNTIF(X71,"*独自*"),"数式を削除して手入力",IFERROR(INDEX(【参考】数式用!$O$3:'【参考】数式用'!$Q$452,MATCH(Q71&amp;V71,【参考】数式用!$N$3:'【参考】数式用'!$N$452,0),MATCH(VLOOKUP(X71,【参考】数式用!$R$2:$S$46,2,FALSE),【参考】数式用!$O$2:$Q$2,0)),10)))</f>
        <v>10.33</v>
      </c>
      <c r="AE71" s="583" t="s">
        <v>2653</v>
      </c>
      <c r="AF71" s="241"/>
      <c r="AG71" s="715"/>
      <c r="AH71" s="251" t="s">
        <v>153</v>
      </c>
      <c r="AI71" s="252" t="s">
        <v>154</v>
      </c>
      <c r="AJ71" s="253">
        <f t="shared" si="2"/>
        <v>1</v>
      </c>
      <c r="AK71" s="716"/>
    </row>
    <row r="72" spans="1:37" ht="49.95" customHeight="1">
      <c r="A72" s="240">
        <f t="shared" si="1"/>
        <v>33</v>
      </c>
      <c r="B72" s="742" t="s">
        <v>2609</v>
      </c>
      <c r="C72" s="743"/>
      <c r="D72" s="743"/>
      <c r="E72" s="743"/>
      <c r="F72" s="743"/>
      <c r="G72" s="743"/>
      <c r="H72" s="743"/>
      <c r="I72" s="743"/>
      <c r="J72" s="743"/>
      <c r="K72" s="744"/>
      <c r="L72" s="739" t="s">
        <v>2536</v>
      </c>
      <c r="M72" s="740"/>
      <c r="N72" s="740"/>
      <c r="O72" s="740"/>
      <c r="P72" s="741"/>
      <c r="Q72" s="726" t="s">
        <v>2536</v>
      </c>
      <c r="R72" s="726"/>
      <c r="S72" s="726"/>
      <c r="T72" s="726"/>
      <c r="U72" s="726"/>
      <c r="V72" s="572" t="s">
        <v>2625</v>
      </c>
      <c r="W72" s="129" t="s">
        <v>2650</v>
      </c>
      <c r="X72" s="701" t="s">
        <v>155</v>
      </c>
      <c r="Y72" s="702" t="s">
        <v>155</v>
      </c>
      <c r="Z72" s="561" t="str">
        <f>IFERROR(VLOOKUP(X72, 【参考】数式用!$A$2:$B$46, 2, FALSE), "")</f>
        <v>24</v>
      </c>
      <c r="AA72" s="589">
        <v>1000000</v>
      </c>
      <c r="AB72" s="590">
        <v>250000</v>
      </c>
      <c r="AC72" s="591">
        <f t="shared" si="0"/>
        <v>750000</v>
      </c>
      <c r="AD72" s="603">
        <f>IF(B72="", "", IF(COUNTIF(X72,"*独自*"),"数式を削除して手入力",IFERROR(INDEX(【参考】数式用!$O$3:'【参考】数式用'!$Q$452,MATCH(Q72&amp;V72,【参考】数式用!$N$3:'【参考】数式用'!$N$452,0),MATCH(VLOOKUP(X72,【参考】数式用!$R$2:$S$46,2,FALSE),【参考】数式用!$O$2:$Q$2,0)),10)))</f>
        <v>10.33</v>
      </c>
      <c r="AE72" s="583" t="s">
        <v>2653</v>
      </c>
      <c r="AF72" s="241"/>
      <c r="AG72" s="715" t="s">
        <v>156</v>
      </c>
      <c r="AH72" s="251" t="s">
        <v>157</v>
      </c>
      <c r="AI72" s="252" t="s">
        <v>158</v>
      </c>
      <c r="AJ72" s="253">
        <f t="shared" si="2"/>
        <v>1</v>
      </c>
      <c r="AK72" s="716" t="str">
        <f>IF(AJ72=AJ73, "一致", "不一致")</f>
        <v>一致</v>
      </c>
    </row>
    <row r="73" spans="1:37" ht="49.95" customHeight="1" thickBot="1">
      <c r="A73" s="240">
        <f t="shared" si="1"/>
        <v>34</v>
      </c>
      <c r="B73" s="742" t="s">
        <v>2610</v>
      </c>
      <c r="C73" s="743"/>
      <c r="D73" s="743"/>
      <c r="E73" s="743"/>
      <c r="F73" s="743"/>
      <c r="G73" s="743"/>
      <c r="H73" s="743"/>
      <c r="I73" s="743"/>
      <c r="J73" s="743"/>
      <c r="K73" s="744"/>
      <c r="L73" s="739" t="s">
        <v>2536</v>
      </c>
      <c r="M73" s="740"/>
      <c r="N73" s="740"/>
      <c r="O73" s="740"/>
      <c r="P73" s="741"/>
      <c r="Q73" s="726" t="s">
        <v>2536</v>
      </c>
      <c r="R73" s="726"/>
      <c r="S73" s="726"/>
      <c r="T73" s="726"/>
      <c r="U73" s="726"/>
      <c r="V73" s="572" t="s">
        <v>2625</v>
      </c>
      <c r="W73" s="129" t="s">
        <v>2650</v>
      </c>
      <c r="X73" s="701" t="s">
        <v>159</v>
      </c>
      <c r="Y73" s="702" t="s">
        <v>159</v>
      </c>
      <c r="Z73" s="561" t="str">
        <f>IFERROR(VLOOKUP(X73, 【参考】数式用!$A$2:$B$46, 2, FALSE), "")</f>
        <v>52</v>
      </c>
      <c r="AA73" s="589">
        <v>1000000</v>
      </c>
      <c r="AB73" s="590">
        <v>250000</v>
      </c>
      <c r="AC73" s="591">
        <f t="shared" si="0"/>
        <v>750000</v>
      </c>
      <c r="AD73" s="603">
        <f>IF(B73="", "", IF(COUNTIF(X73,"*独自*"),"数式を削除して手入力",IFERROR(INDEX(【参考】数式用!$O$3:'【参考】数式用'!$Q$452,MATCH(Q73&amp;V73,【参考】数式用!$N$3:'【参考】数式用'!$N$452,0),MATCH(VLOOKUP(X73,【参考】数式用!$R$2:$S$46,2,FALSE),【参考】数式用!$O$2:$Q$2,0)),10)))</f>
        <v>10.27</v>
      </c>
      <c r="AE73" s="583" t="s">
        <v>2653</v>
      </c>
      <c r="AF73" s="241"/>
      <c r="AG73" s="717"/>
      <c r="AH73" s="254" t="s">
        <v>160</v>
      </c>
      <c r="AI73" s="255" t="s">
        <v>161</v>
      </c>
      <c r="AJ73" s="256">
        <f t="shared" si="2"/>
        <v>1</v>
      </c>
      <c r="AK73" s="718"/>
    </row>
    <row r="74" spans="1:37" ht="49.95" customHeight="1">
      <c r="A74" s="240">
        <f t="shared" si="1"/>
        <v>35</v>
      </c>
      <c r="B74" s="742" t="s">
        <v>2611</v>
      </c>
      <c r="C74" s="743"/>
      <c r="D74" s="743"/>
      <c r="E74" s="743"/>
      <c r="F74" s="743"/>
      <c r="G74" s="743"/>
      <c r="H74" s="743"/>
      <c r="I74" s="743"/>
      <c r="J74" s="743"/>
      <c r="K74" s="744"/>
      <c r="L74" s="739" t="s">
        <v>2536</v>
      </c>
      <c r="M74" s="740"/>
      <c r="N74" s="740"/>
      <c r="O74" s="740"/>
      <c r="P74" s="741"/>
      <c r="Q74" s="726" t="s">
        <v>2536</v>
      </c>
      <c r="R74" s="726"/>
      <c r="S74" s="726"/>
      <c r="T74" s="726"/>
      <c r="U74" s="726"/>
      <c r="V74" s="572" t="s">
        <v>2625</v>
      </c>
      <c r="W74" s="129" t="s">
        <v>2650</v>
      </c>
      <c r="X74" s="701" t="s">
        <v>162</v>
      </c>
      <c r="Y74" s="702" t="s">
        <v>162</v>
      </c>
      <c r="Z74" s="561" t="str">
        <f>IFERROR(VLOOKUP(X74, 【参考】数式用!$A$2:$B$46, 2, FALSE), "")</f>
        <v>22</v>
      </c>
      <c r="AA74" s="589">
        <v>1000000</v>
      </c>
      <c r="AB74" s="590">
        <v>250000</v>
      </c>
      <c r="AC74" s="591">
        <f t="shared" si="0"/>
        <v>750000</v>
      </c>
      <c r="AD74" s="603">
        <f>IF(B74="", "", IF(COUNTIF(X74,"*独自*"),"数式を削除して手入力",IFERROR(INDEX(【参考】数式用!$O$3:'【参考】数式用'!$Q$452,MATCH(Q74&amp;V74,【参考】数式用!$N$3:'【参考】数式用'!$N$452,0),MATCH(VLOOKUP(X74,【参考】数式用!$R$2:$S$46,2,FALSE),【参考】数式用!$O$2:$Q$2,0)),10)))</f>
        <v>10.27</v>
      </c>
      <c r="AE74" s="583" t="s">
        <v>2653</v>
      </c>
      <c r="AF74" s="241"/>
      <c r="AG74" s="257"/>
    </row>
    <row r="75" spans="1:37" ht="49.95" customHeight="1">
      <c r="A75" s="240">
        <f t="shared" si="1"/>
        <v>36</v>
      </c>
      <c r="B75" s="742" t="s">
        <v>2612</v>
      </c>
      <c r="C75" s="743"/>
      <c r="D75" s="743"/>
      <c r="E75" s="743"/>
      <c r="F75" s="743"/>
      <c r="G75" s="743"/>
      <c r="H75" s="743"/>
      <c r="I75" s="743"/>
      <c r="J75" s="743"/>
      <c r="K75" s="744"/>
      <c r="L75" s="739" t="s">
        <v>2536</v>
      </c>
      <c r="M75" s="740"/>
      <c r="N75" s="740"/>
      <c r="O75" s="740"/>
      <c r="P75" s="741"/>
      <c r="Q75" s="726" t="s">
        <v>2536</v>
      </c>
      <c r="R75" s="726"/>
      <c r="S75" s="726"/>
      <c r="T75" s="726"/>
      <c r="U75" s="726"/>
      <c r="V75" s="572" t="s">
        <v>2625</v>
      </c>
      <c r="W75" s="129" t="s">
        <v>2650</v>
      </c>
      <c r="X75" s="701" t="s">
        <v>163</v>
      </c>
      <c r="Y75" s="702" t="s">
        <v>163</v>
      </c>
      <c r="Z75" s="561" t="str">
        <f>IFERROR(VLOOKUP(X75, 【参考】数式用!$A$2:$B$46, 2, FALSE), "")</f>
        <v>25</v>
      </c>
      <c r="AA75" s="589">
        <v>1000000</v>
      </c>
      <c r="AB75" s="590">
        <v>250000</v>
      </c>
      <c r="AC75" s="591">
        <f t="shared" si="0"/>
        <v>750000</v>
      </c>
      <c r="AD75" s="603">
        <f>IF(B75="", "", IF(COUNTIF(X75,"*独自*"),"数式を削除して手入力",IFERROR(INDEX(【参考】数式用!$O$3:'【参考】数式用'!$Q$452,MATCH(Q75&amp;V75,【参考】数式用!$N$3:'【参考】数式用'!$N$452,0),MATCH(VLOOKUP(X75,【参考】数式用!$R$2:$S$46,2,FALSE),【参考】数式用!$O$2:$Q$2,0)),10)))</f>
        <v>10.27</v>
      </c>
      <c r="AE75" s="583" t="s">
        <v>2653</v>
      </c>
      <c r="AF75" s="241"/>
      <c r="AG75" s="257"/>
    </row>
    <row r="76" spans="1:37" ht="49.95" customHeight="1">
      <c r="A76" s="240">
        <f t="shared" si="1"/>
        <v>37</v>
      </c>
      <c r="B76" s="742" t="s">
        <v>2613</v>
      </c>
      <c r="C76" s="743"/>
      <c r="D76" s="743"/>
      <c r="E76" s="743"/>
      <c r="F76" s="743"/>
      <c r="G76" s="743"/>
      <c r="H76" s="743"/>
      <c r="I76" s="743"/>
      <c r="J76" s="743"/>
      <c r="K76" s="744"/>
      <c r="L76" s="739" t="s">
        <v>2536</v>
      </c>
      <c r="M76" s="740"/>
      <c r="N76" s="740"/>
      <c r="O76" s="740"/>
      <c r="P76" s="741"/>
      <c r="Q76" s="726" t="s">
        <v>2536</v>
      </c>
      <c r="R76" s="726"/>
      <c r="S76" s="726"/>
      <c r="T76" s="726"/>
      <c r="U76" s="726"/>
      <c r="V76" s="572" t="s">
        <v>2625</v>
      </c>
      <c r="W76" s="129" t="s">
        <v>2650</v>
      </c>
      <c r="X76" s="701" t="s">
        <v>137</v>
      </c>
      <c r="Y76" s="702" t="s">
        <v>137</v>
      </c>
      <c r="Z76" s="561" t="str">
        <f>IFERROR(VLOOKUP(X76, 【参考】数式用!$A$2:$B$46, 2, FALSE), "")</f>
        <v>23</v>
      </c>
      <c r="AA76" s="589">
        <v>1000000</v>
      </c>
      <c r="AB76" s="590">
        <v>250000</v>
      </c>
      <c r="AC76" s="591">
        <f t="shared" si="0"/>
        <v>750000</v>
      </c>
      <c r="AD76" s="603">
        <f>IF(B76="", "", IF(COUNTIF(X76,"*独自*"),"数式を削除して手入力",IFERROR(INDEX(【参考】数式用!$O$3:'【参考】数式用'!$Q$452,MATCH(Q76&amp;V76,【参考】数式用!$N$3:'【参考】数式用'!$N$452,0),MATCH(VLOOKUP(X76,【参考】数式用!$R$2:$S$46,2,FALSE),【参考】数式用!$O$2:$Q$2,0)),10)))</f>
        <v>10.27</v>
      </c>
      <c r="AE76" s="583" t="s">
        <v>2653</v>
      </c>
      <c r="AF76" s="241"/>
      <c r="AG76" s="257"/>
    </row>
    <row r="77" spans="1:37" ht="49.95" customHeight="1">
      <c r="A77" s="240">
        <f t="shared" si="1"/>
        <v>38</v>
      </c>
      <c r="B77" s="742" t="s">
        <v>2614</v>
      </c>
      <c r="C77" s="743"/>
      <c r="D77" s="743"/>
      <c r="E77" s="743"/>
      <c r="F77" s="743"/>
      <c r="G77" s="743"/>
      <c r="H77" s="743"/>
      <c r="I77" s="743"/>
      <c r="J77" s="743"/>
      <c r="K77" s="744"/>
      <c r="L77" s="739" t="s">
        <v>2536</v>
      </c>
      <c r="M77" s="740"/>
      <c r="N77" s="740"/>
      <c r="O77" s="740"/>
      <c r="P77" s="741"/>
      <c r="Q77" s="726" t="s">
        <v>2536</v>
      </c>
      <c r="R77" s="726"/>
      <c r="S77" s="726"/>
      <c r="T77" s="726"/>
      <c r="U77" s="726"/>
      <c r="V77" s="572" t="s">
        <v>2625</v>
      </c>
      <c r="W77" s="129" t="s">
        <v>2650</v>
      </c>
      <c r="X77" s="701" t="s">
        <v>164</v>
      </c>
      <c r="Y77" s="702" t="s">
        <v>164</v>
      </c>
      <c r="Z77" s="561" t="str">
        <f>IFERROR(VLOOKUP(X77, 【参考】数式用!$A$2:$B$46, 2, FALSE), "")</f>
        <v>26</v>
      </c>
      <c r="AA77" s="589">
        <v>1000000</v>
      </c>
      <c r="AB77" s="590">
        <v>250000</v>
      </c>
      <c r="AC77" s="591">
        <f t="shared" si="0"/>
        <v>750000</v>
      </c>
      <c r="AD77" s="603">
        <f>IF(B77="", "", IF(COUNTIF(X77,"*独自*"),"数式を削除して手入力",IFERROR(INDEX(【参考】数式用!$O$3:'【参考】数式用'!$Q$452,MATCH(Q77&amp;V77,【参考】数式用!$N$3:'【参考】数式用'!$N$452,0),MATCH(VLOOKUP(X77,【参考】数式用!$R$2:$S$46,2,FALSE),【参考】数式用!$O$2:$Q$2,0)),10)))</f>
        <v>10.27</v>
      </c>
      <c r="AE77" s="583" t="s">
        <v>2653</v>
      </c>
      <c r="AF77" s="241"/>
      <c r="AG77" s="257"/>
    </row>
    <row r="78" spans="1:37" ht="49.95" customHeight="1">
      <c r="A78" s="240">
        <f t="shared" si="1"/>
        <v>39</v>
      </c>
      <c r="B78" s="742" t="s">
        <v>2615</v>
      </c>
      <c r="C78" s="743"/>
      <c r="D78" s="743"/>
      <c r="E78" s="743"/>
      <c r="F78" s="743"/>
      <c r="G78" s="743"/>
      <c r="H78" s="743"/>
      <c r="I78" s="743"/>
      <c r="J78" s="743"/>
      <c r="K78" s="744"/>
      <c r="L78" s="739" t="s">
        <v>2536</v>
      </c>
      <c r="M78" s="740"/>
      <c r="N78" s="740"/>
      <c r="O78" s="740"/>
      <c r="P78" s="741"/>
      <c r="Q78" s="726" t="s">
        <v>2536</v>
      </c>
      <c r="R78" s="726"/>
      <c r="S78" s="726"/>
      <c r="T78" s="726"/>
      <c r="U78" s="726"/>
      <c r="V78" s="572" t="s">
        <v>2625</v>
      </c>
      <c r="W78" s="129" t="s">
        <v>2650</v>
      </c>
      <c r="X78" s="701" t="s">
        <v>165</v>
      </c>
      <c r="Y78" s="702" t="s">
        <v>165</v>
      </c>
      <c r="Z78" s="561" t="str">
        <f>IFERROR(VLOOKUP(X78, 【参考】数式用!$A$2:$B$46, 2, FALSE), "")</f>
        <v>55</v>
      </c>
      <c r="AA78" s="589">
        <v>1000000</v>
      </c>
      <c r="AB78" s="590">
        <v>250000</v>
      </c>
      <c r="AC78" s="591">
        <f t="shared" si="0"/>
        <v>750000</v>
      </c>
      <c r="AD78" s="603">
        <f>IF(B78="", "", IF(COUNTIF(X78,"*独自*"),"数式を削除して手入力",IFERROR(INDEX(【参考】数式用!$O$3:'【参考】数式用'!$Q$452,MATCH(Q78&amp;V78,【参考】数式用!$N$3:'【参考】数式用'!$N$452,0),MATCH(VLOOKUP(X78,【参考】数式用!$R$2:$S$46,2,FALSE),【参考】数式用!$O$2:$Q$2,0)),10)))</f>
        <v>10.27</v>
      </c>
      <c r="AE78" s="583" t="s">
        <v>2653</v>
      </c>
      <c r="AF78" s="241"/>
      <c r="AG78" s="257"/>
    </row>
    <row r="79" spans="1:37" ht="49.95" customHeight="1">
      <c r="A79" s="240">
        <f t="shared" ref="A79:A105" si="3">A78+1</f>
        <v>40</v>
      </c>
      <c r="B79" s="742" t="s">
        <v>2616</v>
      </c>
      <c r="C79" s="743"/>
      <c r="D79" s="743"/>
      <c r="E79" s="743"/>
      <c r="F79" s="743"/>
      <c r="G79" s="743"/>
      <c r="H79" s="743"/>
      <c r="I79" s="743"/>
      <c r="J79" s="743"/>
      <c r="K79" s="744"/>
      <c r="L79" s="739" t="s">
        <v>2536</v>
      </c>
      <c r="M79" s="740"/>
      <c r="N79" s="740"/>
      <c r="O79" s="740"/>
      <c r="P79" s="741"/>
      <c r="Q79" s="749" t="s">
        <v>2536</v>
      </c>
      <c r="R79" s="749"/>
      <c r="S79" s="749"/>
      <c r="T79" s="749"/>
      <c r="U79" s="749"/>
      <c r="V79" s="129" t="s">
        <v>2625</v>
      </c>
      <c r="W79" s="129" t="s">
        <v>2650</v>
      </c>
      <c r="X79" s="701" t="s">
        <v>2651</v>
      </c>
      <c r="Y79" s="702" t="s">
        <v>2651</v>
      </c>
      <c r="Z79" s="561" t="str">
        <f>IFERROR(VLOOKUP(X79, 【参考】数式用!$A$2:$B$46, 2, FALSE), "")</f>
        <v>2A</v>
      </c>
      <c r="AA79" s="589">
        <v>1000000</v>
      </c>
      <c r="AB79" s="590">
        <v>250000</v>
      </c>
      <c r="AC79" s="591">
        <f t="shared" si="0"/>
        <v>750000</v>
      </c>
      <c r="AD79" s="603">
        <f>IF(B79="", "", IF(COUNTIF(X79,"*独自*"),"数式を削除して手入力",IFERROR(INDEX(【参考】数式用!$O$3:'【参考】数式用'!$Q$452,MATCH(Q79&amp;V79,【参考】数式用!$N$3:'【参考】数式用'!$N$452,0),MATCH(VLOOKUP(X79,【参考】数式用!$R$2:$S$46,2,FALSE),【参考】数式用!$O$2:$Q$2,0)),10)))</f>
        <v>10.27</v>
      </c>
      <c r="AE79" s="583" t="s">
        <v>2653</v>
      </c>
      <c r="AF79" s="241"/>
      <c r="AG79" s="257"/>
    </row>
    <row r="80" spans="1:37" ht="49.95" customHeight="1">
      <c r="A80" s="240">
        <f t="shared" si="3"/>
        <v>41</v>
      </c>
      <c r="B80" s="742" t="s">
        <v>2617</v>
      </c>
      <c r="C80" s="743"/>
      <c r="D80" s="743"/>
      <c r="E80" s="743"/>
      <c r="F80" s="743"/>
      <c r="G80" s="743"/>
      <c r="H80" s="743"/>
      <c r="I80" s="743"/>
      <c r="J80" s="743"/>
      <c r="K80" s="744"/>
      <c r="L80" s="739" t="s">
        <v>2536</v>
      </c>
      <c r="M80" s="740"/>
      <c r="N80" s="740"/>
      <c r="O80" s="740"/>
      <c r="P80" s="741"/>
      <c r="Q80" s="749" t="s">
        <v>2536</v>
      </c>
      <c r="R80" s="749"/>
      <c r="S80" s="749"/>
      <c r="T80" s="749"/>
      <c r="U80" s="749"/>
      <c r="V80" s="129" t="s">
        <v>2625</v>
      </c>
      <c r="W80" s="129" t="s">
        <v>2650</v>
      </c>
      <c r="X80" s="701" t="s">
        <v>2652</v>
      </c>
      <c r="Y80" s="702" t="s">
        <v>2652</v>
      </c>
      <c r="Z80" s="561" t="str">
        <f>IFERROR(VLOOKUP(X80, 【参考】数式用!$A$2:$B$46, 2, FALSE), "")</f>
        <v>2B</v>
      </c>
      <c r="AA80" s="589">
        <v>1000000</v>
      </c>
      <c r="AB80" s="590">
        <v>250000</v>
      </c>
      <c r="AC80" s="591">
        <f t="shared" si="0"/>
        <v>750000</v>
      </c>
      <c r="AD80" s="603">
        <f>IF(B80="", "", IF(COUNTIF(X80,"*独自*"),"数式を削除して手入力",IFERROR(INDEX(【参考】数式用!$O$3:'【参考】数式用'!$Q$452,MATCH(Q80&amp;V80,【参考】数式用!$N$3:'【参考】数式用'!$N$452,0),MATCH(VLOOKUP(X80,【参考】数式用!$R$2:$S$46,2,FALSE),【参考】数式用!$O$2:$Q$2,0)),10)))</f>
        <v>10.27</v>
      </c>
      <c r="AE80" s="583" t="s">
        <v>2653</v>
      </c>
      <c r="AF80" s="241"/>
      <c r="AG80" s="257"/>
    </row>
    <row r="81" spans="1:33" ht="49.95" customHeight="1">
      <c r="A81" s="240">
        <f t="shared" si="3"/>
        <v>42</v>
      </c>
      <c r="B81" s="742" t="s">
        <v>2618</v>
      </c>
      <c r="C81" s="743"/>
      <c r="D81" s="743"/>
      <c r="E81" s="743"/>
      <c r="F81" s="743"/>
      <c r="G81" s="743"/>
      <c r="H81" s="743"/>
      <c r="I81" s="743"/>
      <c r="J81" s="743"/>
      <c r="K81" s="744"/>
      <c r="L81" s="739" t="s">
        <v>2635</v>
      </c>
      <c r="M81" s="740"/>
      <c r="N81" s="740"/>
      <c r="O81" s="740"/>
      <c r="P81" s="741"/>
      <c r="Q81" s="749" t="s">
        <v>2536</v>
      </c>
      <c r="R81" s="749"/>
      <c r="S81" s="749"/>
      <c r="T81" s="749"/>
      <c r="U81" s="749"/>
      <c r="V81" s="129" t="s">
        <v>2635</v>
      </c>
      <c r="W81" s="129" t="s">
        <v>2637</v>
      </c>
      <c r="X81" s="701" t="s">
        <v>168</v>
      </c>
      <c r="Y81" s="702" t="s">
        <v>168</v>
      </c>
      <c r="Z81" s="561" t="str">
        <f>IFERROR(VLOOKUP(X81, 【参考】数式用!$A$2:$B$46, 2, FALSE), "")</f>
        <v>A2</v>
      </c>
      <c r="AA81" s="589">
        <v>1000000</v>
      </c>
      <c r="AB81" s="590">
        <v>250000</v>
      </c>
      <c r="AC81" s="591">
        <f t="shared" si="0"/>
        <v>750000</v>
      </c>
      <c r="AD81" s="603" t="str">
        <f>IF(B81="", "", IF(COUNTIF(X81,"*独自*"),"数式を削除して手入力",IFERROR(INDEX(【参考】数式用!$O$3:'【参考】数式用'!$Q$452,MATCH(Q81&amp;V81,【参考】数式用!$N$3:'【参考】数式用'!$N$452,0),MATCH(VLOOKUP(X81,【参考】数式用!$R$2:$S$46,2,FALSE),【参考】数式用!$O$2:$Q$2,0)),10)))</f>
        <v>数式を削除して手入力</v>
      </c>
      <c r="AE81" s="583" t="s">
        <v>2653</v>
      </c>
      <c r="AF81" s="241"/>
      <c r="AG81" s="257"/>
    </row>
    <row r="82" spans="1:33" ht="49.95" customHeight="1">
      <c r="A82" s="240">
        <f t="shared" si="3"/>
        <v>43</v>
      </c>
      <c r="B82" s="742" t="s">
        <v>2619</v>
      </c>
      <c r="C82" s="743"/>
      <c r="D82" s="743"/>
      <c r="E82" s="743"/>
      <c r="F82" s="743"/>
      <c r="G82" s="743"/>
      <c r="H82" s="743"/>
      <c r="I82" s="743"/>
      <c r="J82" s="743"/>
      <c r="K82" s="744"/>
      <c r="L82" s="739" t="s">
        <v>2635</v>
      </c>
      <c r="M82" s="740"/>
      <c r="N82" s="740"/>
      <c r="O82" s="740"/>
      <c r="P82" s="741"/>
      <c r="Q82" s="749" t="s">
        <v>2536</v>
      </c>
      <c r="R82" s="749"/>
      <c r="S82" s="749"/>
      <c r="T82" s="749"/>
      <c r="U82" s="749"/>
      <c r="V82" s="129" t="s">
        <v>2635</v>
      </c>
      <c r="W82" s="129" t="s">
        <v>2637</v>
      </c>
      <c r="X82" s="701" t="s">
        <v>169</v>
      </c>
      <c r="Y82" s="702" t="s">
        <v>169</v>
      </c>
      <c r="Z82" s="561" t="str">
        <f>IFERROR(VLOOKUP(X82, 【参考】数式用!$A$2:$B$46, 2, FALSE), "")</f>
        <v>A3</v>
      </c>
      <c r="AA82" s="589">
        <v>1000000</v>
      </c>
      <c r="AB82" s="590">
        <v>250000</v>
      </c>
      <c r="AC82" s="591">
        <f t="shared" si="0"/>
        <v>750000</v>
      </c>
      <c r="AD82" s="603" t="str">
        <f>IF(B82="", "", IF(COUNTIF(X82,"*独自*"),"数式を削除して手入力",IFERROR(INDEX(【参考】数式用!$O$3:'【参考】数式用'!$Q$452,MATCH(Q82&amp;V82,【参考】数式用!$N$3:'【参考】数式用'!$N$452,0),MATCH(VLOOKUP(X82,【参考】数式用!$R$2:$S$46,2,FALSE),【参考】数式用!$O$2:$Q$2,0)),10)))</f>
        <v>数式を削除して手入力</v>
      </c>
      <c r="AE82" s="583" t="s">
        <v>2653</v>
      </c>
      <c r="AF82" s="241"/>
      <c r="AG82" s="257"/>
    </row>
    <row r="83" spans="1:33" ht="49.95" customHeight="1">
      <c r="A83" s="240">
        <f t="shared" si="3"/>
        <v>44</v>
      </c>
      <c r="B83" s="742" t="s">
        <v>2620</v>
      </c>
      <c r="C83" s="743"/>
      <c r="D83" s="743"/>
      <c r="E83" s="743"/>
      <c r="F83" s="743"/>
      <c r="G83" s="743"/>
      <c r="H83" s="743"/>
      <c r="I83" s="743"/>
      <c r="J83" s="743"/>
      <c r="K83" s="744"/>
      <c r="L83" s="739" t="s">
        <v>2635</v>
      </c>
      <c r="M83" s="740"/>
      <c r="N83" s="740"/>
      <c r="O83" s="740"/>
      <c r="P83" s="741"/>
      <c r="Q83" s="749" t="s">
        <v>2536</v>
      </c>
      <c r="R83" s="749"/>
      <c r="S83" s="749"/>
      <c r="T83" s="749"/>
      <c r="U83" s="749"/>
      <c r="V83" s="129" t="s">
        <v>2635</v>
      </c>
      <c r="W83" s="129" t="s">
        <v>2637</v>
      </c>
      <c r="X83" s="701" t="s">
        <v>170</v>
      </c>
      <c r="Y83" s="702" t="s">
        <v>170</v>
      </c>
      <c r="Z83" s="561" t="str">
        <f>IFERROR(VLOOKUP(X83, 【参考】数式用!$A$2:$B$46, 2, FALSE), "")</f>
        <v>A4</v>
      </c>
      <c r="AA83" s="589">
        <v>1000000</v>
      </c>
      <c r="AB83" s="590">
        <v>250000</v>
      </c>
      <c r="AC83" s="591">
        <f t="shared" si="0"/>
        <v>750000</v>
      </c>
      <c r="AD83" s="603" t="str">
        <f>IF(B83="", "", IF(COUNTIF(X83,"*独自*"),"数式を削除して手入力",IFERROR(INDEX(【参考】数式用!$O$3:'【参考】数式用'!$Q$452,MATCH(Q83&amp;V83,【参考】数式用!$N$3:'【参考】数式用'!$N$452,0),MATCH(VLOOKUP(X83,【参考】数式用!$R$2:$S$46,2,FALSE),【参考】数式用!$O$2:$Q$2,0)),10)))</f>
        <v>数式を削除して手入力</v>
      </c>
      <c r="AE83" s="583" t="s">
        <v>2653</v>
      </c>
      <c r="AF83" s="241"/>
      <c r="AG83" s="257"/>
    </row>
    <row r="84" spans="1:33" ht="49.95" customHeight="1">
      <c r="A84" s="240">
        <f t="shared" si="3"/>
        <v>45</v>
      </c>
      <c r="B84" s="745" t="s">
        <v>2621</v>
      </c>
      <c r="C84" s="746"/>
      <c r="D84" s="746"/>
      <c r="E84" s="746"/>
      <c r="F84" s="746"/>
      <c r="G84" s="746"/>
      <c r="H84" s="746"/>
      <c r="I84" s="746"/>
      <c r="J84" s="746"/>
      <c r="K84" s="746"/>
      <c r="L84" s="739" t="s">
        <v>2636</v>
      </c>
      <c r="M84" s="740"/>
      <c r="N84" s="740"/>
      <c r="O84" s="740"/>
      <c r="P84" s="741"/>
      <c r="Q84" s="749" t="s">
        <v>2536</v>
      </c>
      <c r="R84" s="749"/>
      <c r="S84" s="749"/>
      <c r="T84" s="749"/>
      <c r="U84" s="749"/>
      <c r="V84" s="129" t="s">
        <v>2636</v>
      </c>
      <c r="W84" s="129" t="s">
        <v>2644</v>
      </c>
      <c r="X84" s="701" t="s">
        <v>171</v>
      </c>
      <c r="Y84" s="702" t="s">
        <v>171</v>
      </c>
      <c r="Z84" s="561" t="str">
        <f>IFERROR(VLOOKUP(X84, 【参考】数式用!$A$2:$B$46, 2, FALSE), "")</f>
        <v>A6</v>
      </c>
      <c r="AA84" s="589">
        <v>1000000</v>
      </c>
      <c r="AB84" s="590">
        <v>250000</v>
      </c>
      <c r="AC84" s="591">
        <f t="shared" si="0"/>
        <v>750000</v>
      </c>
      <c r="AD84" s="603" t="str">
        <f>IF(B84="", "", IF(COUNTIF(X84,"*独自*"),"数式を削除して手入力",IFERROR(INDEX(【参考】数式用!$O$3:'【参考】数式用'!$Q$452,MATCH(Q84&amp;V84,【参考】数式用!$N$3:'【参考】数式用'!$N$452,0),MATCH(VLOOKUP(X84,【参考】数式用!$R$2:$S$46,2,FALSE),【参考】数式用!$O$2:$Q$2,0)),10)))</f>
        <v>数式を削除して手入力</v>
      </c>
      <c r="AE84" s="583" t="s">
        <v>2653</v>
      </c>
      <c r="AF84" s="241"/>
      <c r="AG84" s="257"/>
    </row>
    <row r="85" spans="1:33" ht="49.95" customHeight="1">
      <c r="A85" s="240">
        <f t="shared" si="3"/>
        <v>46</v>
      </c>
      <c r="B85" s="745" t="s">
        <v>2622</v>
      </c>
      <c r="C85" s="746"/>
      <c r="D85" s="746"/>
      <c r="E85" s="746"/>
      <c r="F85" s="746"/>
      <c r="G85" s="746"/>
      <c r="H85" s="746"/>
      <c r="I85" s="746"/>
      <c r="J85" s="746"/>
      <c r="K85" s="746"/>
      <c r="L85" s="739" t="s">
        <v>2636</v>
      </c>
      <c r="M85" s="740"/>
      <c r="N85" s="740"/>
      <c r="O85" s="740"/>
      <c r="P85" s="741"/>
      <c r="Q85" s="749" t="s">
        <v>2536</v>
      </c>
      <c r="R85" s="749"/>
      <c r="S85" s="749"/>
      <c r="T85" s="749"/>
      <c r="U85" s="749"/>
      <c r="V85" s="129" t="s">
        <v>2636</v>
      </c>
      <c r="W85" s="129" t="s">
        <v>2644</v>
      </c>
      <c r="X85" s="701" t="s">
        <v>172</v>
      </c>
      <c r="Y85" s="702" t="s">
        <v>172</v>
      </c>
      <c r="Z85" s="561" t="str">
        <f>IFERROR(VLOOKUP(X85, 【参考】数式用!$A$2:$B$46, 2, FALSE), "")</f>
        <v>A7</v>
      </c>
      <c r="AA85" s="589">
        <v>1000000</v>
      </c>
      <c r="AB85" s="590">
        <v>250000</v>
      </c>
      <c r="AC85" s="591">
        <f t="shared" si="0"/>
        <v>750000</v>
      </c>
      <c r="AD85" s="603" t="str">
        <f>IF(B85="", "", IF(COUNTIF(X85,"*独自*"),"数式を削除して手入力",IFERROR(INDEX(【参考】数式用!$O$3:'【参考】数式用'!$Q$452,MATCH(Q85&amp;V85,【参考】数式用!$N$3:'【参考】数式用'!$N$452,0),MATCH(VLOOKUP(X85,【参考】数式用!$R$2:$S$46,2,FALSE),【参考】数式用!$O$2:$Q$2,0)),10)))</f>
        <v>数式を削除して手入力</v>
      </c>
      <c r="AE85" s="583" t="s">
        <v>2653</v>
      </c>
      <c r="AF85" s="241"/>
      <c r="AG85" s="257"/>
    </row>
    <row r="86" spans="1:33" ht="49.95" customHeight="1">
      <c r="A86" s="240">
        <f t="shared" si="3"/>
        <v>47</v>
      </c>
      <c r="B86" s="745" t="s">
        <v>2623</v>
      </c>
      <c r="C86" s="746"/>
      <c r="D86" s="746"/>
      <c r="E86" s="746"/>
      <c r="F86" s="746"/>
      <c r="G86" s="746"/>
      <c r="H86" s="746"/>
      <c r="I86" s="746"/>
      <c r="J86" s="746"/>
      <c r="K86" s="746"/>
      <c r="L86" s="739" t="s">
        <v>2636</v>
      </c>
      <c r="M86" s="740"/>
      <c r="N86" s="740"/>
      <c r="O86" s="740"/>
      <c r="P86" s="741"/>
      <c r="Q86" s="749" t="s">
        <v>2536</v>
      </c>
      <c r="R86" s="749"/>
      <c r="S86" s="749"/>
      <c r="T86" s="749"/>
      <c r="U86" s="749"/>
      <c r="V86" s="129" t="s">
        <v>2636</v>
      </c>
      <c r="W86" s="129" t="s">
        <v>2644</v>
      </c>
      <c r="X86" s="701" t="s">
        <v>173</v>
      </c>
      <c r="Y86" s="702" t="s">
        <v>173</v>
      </c>
      <c r="Z86" s="561" t="str">
        <f>IFERROR(VLOOKUP(X86, 【参考】数式用!$A$2:$B$46, 2, FALSE), "")</f>
        <v>A8</v>
      </c>
      <c r="AA86" s="589">
        <v>1000000</v>
      </c>
      <c r="AB86" s="590">
        <v>250000</v>
      </c>
      <c r="AC86" s="591">
        <f t="shared" si="0"/>
        <v>750000</v>
      </c>
      <c r="AD86" s="603" t="str">
        <f>IF(B86="", "", IF(COUNTIF(X86,"*独自*"),"数式を削除して手入力",IFERROR(INDEX(【参考】数式用!$O$3:'【参考】数式用'!$Q$452,MATCH(Q86&amp;V86,【参考】数式用!$N$3:'【参考】数式用'!$N$452,0),MATCH(VLOOKUP(X86,【参考】数式用!$R$2:$S$46,2,FALSE),【参考】数式用!$O$2:$Q$2,0)),10)))</f>
        <v>数式を削除して手入力</v>
      </c>
      <c r="AE86" s="583" t="s">
        <v>2653</v>
      </c>
      <c r="AF86" s="241"/>
      <c r="AG86" s="257"/>
    </row>
    <row r="87" spans="1:33" ht="49.95" customHeight="1">
      <c r="A87" s="240">
        <f t="shared" si="3"/>
        <v>48</v>
      </c>
      <c r="B87" s="745"/>
      <c r="C87" s="746"/>
      <c r="D87" s="746"/>
      <c r="E87" s="746"/>
      <c r="F87" s="746"/>
      <c r="G87" s="746"/>
      <c r="H87" s="746"/>
      <c r="I87" s="746"/>
      <c r="J87" s="746"/>
      <c r="K87" s="746"/>
      <c r="L87" s="739"/>
      <c r="M87" s="740"/>
      <c r="N87" s="740"/>
      <c r="O87" s="740"/>
      <c r="P87" s="741"/>
      <c r="Q87" s="749"/>
      <c r="R87" s="749"/>
      <c r="S87" s="749"/>
      <c r="T87" s="749"/>
      <c r="U87" s="749"/>
      <c r="V87" s="129"/>
      <c r="W87" s="129"/>
      <c r="X87" s="701"/>
      <c r="Y87" s="702"/>
      <c r="Z87" s="561" t="str">
        <f>IFERROR(VLOOKUP(X87, 【参考】数式用!$A$2:$B$46, 2, FALSE), "")</f>
        <v/>
      </c>
      <c r="AA87" s="589"/>
      <c r="AB87" s="590"/>
      <c r="AC87" s="591">
        <f t="shared" si="0"/>
        <v>0</v>
      </c>
      <c r="AD87" s="603" t="str">
        <f>IF(B87="", "", IF(COUNTIF(X87,"*独自*"),"数式を削除して手入力",IFERROR(INDEX(【参考】数式用!$O$3:'【参考】数式用'!$Q$452,MATCH(Q87&amp;V87,【参考】数式用!$N$3:'【参考】数式用'!$N$452,0),MATCH(VLOOKUP(X87,【参考】数式用!$R$2:$S$46,2,FALSE),【参考】数式用!$O$2:$Q$2,0)),10)))</f>
        <v/>
      </c>
      <c r="AE87" s="584"/>
      <c r="AF87" s="241"/>
      <c r="AG87" s="257"/>
    </row>
    <row r="88" spans="1:33" ht="49.95" customHeight="1">
      <c r="A88" s="240">
        <f t="shared" si="3"/>
        <v>49</v>
      </c>
      <c r="B88" s="745"/>
      <c r="C88" s="746"/>
      <c r="D88" s="746"/>
      <c r="E88" s="746"/>
      <c r="F88" s="746"/>
      <c r="G88" s="746"/>
      <c r="H88" s="746"/>
      <c r="I88" s="746"/>
      <c r="J88" s="746"/>
      <c r="K88" s="746"/>
      <c r="L88" s="739"/>
      <c r="M88" s="740"/>
      <c r="N88" s="740"/>
      <c r="O88" s="740"/>
      <c r="P88" s="741"/>
      <c r="Q88" s="749"/>
      <c r="R88" s="749"/>
      <c r="S88" s="749"/>
      <c r="T88" s="749"/>
      <c r="U88" s="749"/>
      <c r="V88" s="129"/>
      <c r="W88" s="129"/>
      <c r="X88" s="701"/>
      <c r="Y88" s="702"/>
      <c r="Z88" s="561" t="str">
        <f>IFERROR(VLOOKUP(X88, 【参考】数式用!$A$2:$B$46, 2, FALSE), "")</f>
        <v/>
      </c>
      <c r="AA88" s="589"/>
      <c r="AB88" s="590"/>
      <c r="AC88" s="591">
        <f t="shared" si="0"/>
        <v>0</v>
      </c>
      <c r="AD88" s="603" t="str">
        <f>IF(B88="", "", IF(COUNTIF(X88,"*独自*"),"数式を削除して手入力",IFERROR(INDEX(【参考】数式用!$O$3:'【参考】数式用'!$Q$452,MATCH(Q88&amp;V88,【参考】数式用!$N$3:'【参考】数式用'!$N$452,0),MATCH(VLOOKUP(X88,【参考】数式用!$R$2:$S$46,2,FALSE),【参考】数式用!$O$2:$Q$2,0)),10)))</f>
        <v/>
      </c>
      <c r="AE88" s="584"/>
      <c r="AF88" s="241"/>
      <c r="AG88" s="257"/>
    </row>
    <row r="89" spans="1:33" ht="49.95" customHeight="1">
      <c r="A89" s="240">
        <f t="shared" si="3"/>
        <v>50</v>
      </c>
      <c r="B89" s="745"/>
      <c r="C89" s="746"/>
      <c r="D89" s="746"/>
      <c r="E89" s="746"/>
      <c r="F89" s="746"/>
      <c r="G89" s="746"/>
      <c r="H89" s="746"/>
      <c r="I89" s="746"/>
      <c r="J89" s="746"/>
      <c r="K89" s="746"/>
      <c r="L89" s="739"/>
      <c r="M89" s="740"/>
      <c r="N89" s="740"/>
      <c r="O89" s="740"/>
      <c r="P89" s="741"/>
      <c r="Q89" s="749"/>
      <c r="R89" s="749"/>
      <c r="S89" s="749"/>
      <c r="T89" s="749"/>
      <c r="U89" s="749"/>
      <c r="V89" s="129"/>
      <c r="W89" s="129"/>
      <c r="X89" s="701"/>
      <c r="Y89" s="702"/>
      <c r="Z89" s="561" t="str">
        <f>IFERROR(VLOOKUP(X89, 【参考】数式用!$A$2:$B$46, 2, FALSE), "")</f>
        <v/>
      </c>
      <c r="AA89" s="589"/>
      <c r="AB89" s="590"/>
      <c r="AC89" s="591">
        <f t="shared" si="0"/>
        <v>0</v>
      </c>
      <c r="AD89" s="603" t="str">
        <f>IF(B89="", "", IF(COUNTIF(X89,"*独自*"),"数式を削除して手入力",IFERROR(INDEX(【参考】数式用!$O$3:'【参考】数式用'!$Q$452,MATCH(Q89&amp;V89,【参考】数式用!$N$3:'【参考】数式用'!$N$452,0),MATCH(VLOOKUP(X89,【参考】数式用!$R$2:$S$46,2,FALSE),【参考】数式用!$O$2:$Q$2,0)),10)))</f>
        <v/>
      </c>
      <c r="AE89" s="584"/>
      <c r="AF89" s="241"/>
      <c r="AG89" s="257"/>
    </row>
    <row r="90" spans="1:33" ht="49.95" customHeight="1">
      <c r="A90" s="240">
        <f t="shared" si="3"/>
        <v>51</v>
      </c>
      <c r="B90" s="745"/>
      <c r="C90" s="746"/>
      <c r="D90" s="746"/>
      <c r="E90" s="746"/>
      <c r="F90" s="746"/>
      <c r="G90" s="746"/>
      <c r="H90" s="746"/>
      <c r="I90" s="746"/>
      <c r="J90" s="746"/>
      <c r="K90" s="746"/>
      <c r="L90" s="739"/>
      <c r="M90" s="740"/>
      <c r="N90" s="740"/>
      <c r="O90" s="740"/>
      <c r="P90" s="741"/>
      <c r="Q90" s="749"/>
      <c r="R90" s="749"/>
      <c r="S90" s="749"/>
      <c r="T90" s="749"/>
      <c r="U90" s="749"/>
      <c r="V90" s="129"/>
      <c r="W90" s="129"/>
      <c r="X90" s="701"/>
      <c r="Y90" s="702"/>
      <c r="Z90" s="561" t="str">
        <f>IFERROR(VLOOKUP(X90, 【参考】数式用!$A$2:$B$46, 2, FALSE), "")</f>
        <v/>
      </c>
      <c r="AA90" s="589"/>
      <c r="AB90" s="590"/>
      <c r="AC90" s="591">
        <f t="shared" si="0"/>
        <v>0</v>
      </c>
      <c r="AD90" s="603" t="str">
        <f>IF(B90="", "", IF(COUNTIF(X90,"*独自*"),"数式を削除して手入力",IFERROR(INDEX(【参考】数式用!$O$3:'【参考】数式用'!$Q$452,MATCH(Q90&amp;V90,【参考】数式用!$N$3:'【参考】数式用'!$N$452,0),MATCH(VLOOKUP(X90,【参考】数式用!$R$2:$S$46,2,FALSE),【参考】数式用!$O$2:$Q$2,0)),10)))</f>
        <v/>
      </c>
      <c r="AE90" s="584"/>
      <c r="AF90" s="241"/>
      <c r="AG90" s="257"/>
    </row>
    <row r="91" spans="1:33" ht="49.95" customHeight="1">
      <c r="A91" s="240">
        <f t="shared" si="3"/>
        <v>52</v>
      </c>
      <c r="B91" s="745"/>
      <c r="C91" s="746"/>
      <c r="D91" s="746"/>
      <c r="E91" s="746"/>
      <c r="F91" s="746"/>
      <c r="G91" s="746"/>
      <c r="H91" s="746"/>
      <c r="I91" s="746"/>
      <c r="J91" s="746"/>
      <c r="K91" s="746"/>
      <c r="L91" s="739"/>
      <c r="M91" s="740"/>
      <c r="N91" s="740"/>
      <c r="O91" s="740"/>
      <c r="P91" s="741"/>
      <c r="Q91" s="749"/>
      <c r="R91" s="749"/>
      <c r="S91" s="749"/>
      <c r="T91" s="749"/>
      <c r="U91" s="749"/>
      <c r="V91" s="129"/>
      <c r="W91" s="129"/>
      <c r="X91" s="701"/>
      <c r="Y91" s="702"/>
      <c r="Z91" s="561" t="str">
        <f>IFERROR(VLOOKUP(X91, 【参考】数式用!$A$2:$B$46, 2, FALSE), "")</f>
        <v/>
      </c>
      <c r="AA91" s="589"/>
      <c r="AB91" s="590"/>
      <c r="AC91" s="591">
        <f t="shared" si="0"/>
        <v>0</v>
      </c>
      <c r="AD91" s="603" t="str">
        <f>IF(B91="", "", IF(COUNTIF(X91,"*独自*"),"数式を削除して手入力",IFERROR(INDEX(【参考】数式用!$O$3:'【参考】数式用'!$Q$452,MATCH(Q91&amp;V91,【参考】数式用!$N$3:'【参考】数式用'!$N$452,0),MATCH(VLOOKUP(X91,【参考】数式用!$R$2:$S$46,2,FALSE),【参考】数式用!$O$2:$Q$2,0)),10)))</f>
        <v/>
      </c>
      <c r="AE91" s="584"/>
      <c r="AF91" s="241"/>
      <c r="AG91" s="257"/>
    </row>
    <row r="92" spans="1:33" ht="49.95" customHeight="1">
      <c r="A92" s="240">
        <f t="shared" si="3"/>
        <v>53</v>
      </c>
      <c r="B92" s="745"/>
      <c r="C92" s="746"/>
      <c r="D92" s="746"/>
      <c r="E92" s="746"/>
      <c r="F92" s="746"/>
      <c r="G92" s="746"/>
      <c r="H92" s="746"/>
      <c r="I92" s="746"/>
      <c r="J92" s="746"/>
      <c r="K92" s="746"/>
      <c r="L92" s="739"/>
      <c r="M92" s="740"/>
      <c r="N92" s="740"/>
      <c r="O92" s="740"/>
      <c r="P92" s="741"/>
      <c r="Q92" s="749"/>
      <c r="R92" s="749"/>
      <c r="S92" s="749"/>
      <c r="T92" s="749"/>
      <c r="U92" s="749"/>
      <c r="V92" s="129"/>
      <c r="W92" s="129"/>
      <c r="X92" s="701"/>
      <c r="Y92" s="702"/>
      <c r="Z92" s="561" t="str">
        <f>IFERROR(VLOOKUP(X92, 【参考】数式用!$A$2:$B$46, 2, FALSE), "")</f>
        <v/>
      </c>
      <c r="AA92" s="589"/>
      <c r="AB92" s="590"/>
      <c r="AC92" s="591">
        <f t="shared" si="0"/>
        <v>0</v>
      </c>
      <c r="AD92" s="603" t="str">
        <f>IF(B92="", "", IF(COUNTIF(X92,"*独自*"),"数式を削除して手入力",IFERROR(INDEX(【参考】数式用!$O$3:'【参考】数式用'!$Q$452,MATCH(Q92&amp;V92,【参考】数式用!$N$3:'【参考】数式用'!$N$452,0),MATCH(VLOOKUP(X92,【参考】数式用!$R$2:$S$46,2,FALSE),【参考】数式用!$O$2:$Q$2,0)),10)))</f>
        <v/>
      </c>
      <c r="AE92" s="584"/>
      <c r="AF92" s="241"/>
      <c r="AG92" s="257"/>
    </row>
    <row r="93" spans="1:33" ht="49.95" customHeight="1">
      <c r="A93" s="240">
        <f t="shared" si="3"/>
        <v>54</v>
      </c>
      <c r="B93" s="745"/>
      <c r="C93" s="746"/>
      <c r="D93" s="746"/>
      <c r="E93" s="746"/>
      <c r="F93" s="746"/>
      <c r="G93" s="746"/>
      <c r="H93" s="746"/>
      <c r="I93" s="746"/>
      <c r="J93" s="746"/>
      <c r="K93" s="746"/>
      <c r="L93" s="739"/>
      <c r="M93" s="740"/>
      <c r="N93" s="740"/>
      <c r="O93" s="740"/>
      <c r="P93" s="741"/>
      <c r="Q93" s="749"/>
      <c r="R93" s="749"/>
      <c r="S93" s="749"/>
      <c r="T93" s="749"/>
      <c r="U93" s="749"/>
      <c r="V93" s="129"/>
      <c r="W93" s="129"/>
      <c r="X93" s="701"/>
      <c r="Y93" s="702"/>
      <c r="Z93" s="561" t="str">
        <f>IFERROR(VLOOKUP(X93, 【参考】数式用!$A$2:$B$46, 2, FALSE), "")</f>
        <v/>
      </c>
      <c r="AA93" s="589"/>
      <c r="AB93" s="590"/>
      <c r="AC93" s="591">
        <f t="shared" si="0"/>
        <v>0</v>
      </c>
      <c r="AD93" s="603" t="str">
        <f>IF(B93="", "", IF(COUNTIF(X93,"*独自*"),"数式を削除して手入力",IFERROR(INDEX(【参考】数式用!$O$3:'【参考】数式用'!$Q$452,MATCH(Q93&amp;V93,【参考】数式用!$N$3:'【参考】数式用'!$N$452,0),MATCH(VLOOKUP(X93,【参考】数式用!$R$2:$S$46,2,FALSE),【参考】数式用!$O$2:$Q$2,0)),10)))</f>
        <v/>
      </c>
      <c r="AE93" s="584"/>
      <c r="AF93" s="241"/>
      <c r="AG93" s="257"/>
    </row>
    <row r="94" spans="1:33" ht="49.95" customHeight="1">
      <c r="A94" s="240">
        <f t="shared" si="3"/>
        <v>55</v>
      </c>
      <c r="B94" s="745"/>
      <c r="C94" s="746"/>
      <c r="D94" s="746"/>
      <c r="E94" s="746"/>
      <c r="F94" s="746"/>
      <c r="G94" s="746"/>
      <c r="H94" s="746"/>
      <c r="I94" s="746"/>
      <c r="J94" s="746"/>
      <c r="K94" s="746"/>
      <c r="L94" s="739"/>
      <c r="M94" s="740"/>
      <c r="N94" s="740"/>
      <c r="O94" s="740"/>
      <c r="P94" s="741"/>
      <c r="Q94" s="749"/>
      <c r="R94" s="749"/>
      <c r="S94" s="749"/>
      <c r="T94" s="749"/>
      <c r="U94" s="749"/>
      <c r="V94" s="129"/>
      <c r="W94" s="129"/>
      <c r="X94" s="701"/>
      <c r="Y94" s="702"/>
      <c r="Z94" s="561" t="str">
        <f>IFERROR(VLOOKUP(X94, 【参考】数式用!$A$2:$B$46, 2, FALSE), "")</f>
        <v/>
      </c>
      <c r="AA94" s="589"/>
      <c r="AB94" s="590"/>
      <c r="AC94" s="591">
        <f t="shared" si="0"/>
        <v>0</v>
      </c>
      <c r="AD94" s="603" t="str">
        <f>IF(B94="", "", IF(COUNTIF(X94,"*独自*"),"数式を削除して手入力",IFERROR(INDEX(【参考】数式用!$O$3:'【参考】数式用'!$Q$452,MATCH(Q94&amp;V94,【参考】数式用!$N$3:'【参考】数式用'!$N$452,0),MATCH(VLOOKUP(X94,【参考】数式用!$R$2:$S$46,2,FALSE),【参考】数式用!$O$2:$Q$2,0)),10)))</f>
        <v/>
      </c>
      <c r="AE94" s="584"/>
      <c r="AF94" s="241"/>
      <c r="AG94" s="257"/>
    </row>
    <row r="95" spans="1:33" ht="49.95" customHeight="1">
      <c r="A95" s="240">
        <f t="shared" si="3"/>
        <v>56</v>
      </c>
      <c r="B95" s="745"/>
      <c r="C95" s="746"/>
      <c r="D95" s="746"/>
      <c r="E95" s="746"/>
      <c r="F95" s="746"/>
      <c r="G95" s="746"/>
      <c r="H95" s="746"/>
      <c r="I95" s="746"/>
      <c r="J95" s="746"/>
      <c r="K95" s="746"/>
      <c r="L95" s="739"/>
      <c r="M95" s="740"/>
      <c r="N95" s="740"/>
      <c r="O95" s="740"/>
      <c r="P95" s="741"/>
      <c r="Q95" s="749"/>
      <c r="R95" s="749"/>
      <c r="S95" s="749"/>
      <c r="T95" s="749"/>
      <c r="U95" s="749"/>
      <c r="V95" s="129"/>
      <c r="W95" s="129"/>
      <c r="X95" s="701"/>
      <c r="Y95" s="702"/>
      <c r="Z95" s="561" t="str">
        <f>IFERROR(VLOOKUP(X95, 【参考】数式用!$A$2:$B$46, 2, FALSE), "")</f>
        <v/>
      </c>
      <c r="AA95" s="589"/>
      <c r="AB95" s="590"/>
      <c r="AC95" s="591">
        <f t="shared" si="0"/>
        <v>0</v>
      </c>
      <c r="AD95" s="603" t="str">
        <f>IF(B95="", "", IF(COUNTIF(X95,"*独自*"),"数式を削除して手入力",IFERROR(INDEX(【参考】数式用!$O$3:'【参考】数式用'!$Q$452,MATCH(Q95&amp;V95,【参考】数式用!$N$3:'【参考】数式用'!$N$452,0),MATCH(VLOOKUP(X95,【参考】数式用!$R$2:$S$46,2,FALSE),【参考】数式用!$O$2:$Q$2,0)),10)))</f>
        <v/>
      </c>
      <c r="AE95" s="584"/>
      <c r="AF95" s="241"/>
      <c r="AG95" s="257"/>
    </row>
    <row r="96" spans="1:33" ht="49.95" customHeight="1">
      <c r="A96" s="240">
        <f t="shared" si="3"/>
        <v>57</v>
      </c>
      <c r="B96" s="745"/>
      <c r="C96" s="746"/>
      <c r="D96" s="746"/>
      <c r="E96" s="746"/>
      <c r="F96" s="746"/>
      <c r="G96" s="746"/>
      <c r="H96" s="746"/>
      <c r="I96" s="746"/>
      <c r="J96" s="746"/>
      <c r="K96" s="746"/>
      <c r="L96" s="739"/>
      <c r="M96" s="740"/>
      <c r="N96" s="740"/>
      <c r="O96" s="740"/>
      <c r="P96" s="741"/>
      <c r="Q96" s="749"/>
      <c r="R96" s="749"/>
      <c r="S96" s="749"/>
      <c r="T96" s="749"/>
      <c r="U96" s="749"/>
      <c r="V96" s="129"/>
      <c r="W96" s="129"/>
      <c r="X96" s="701"/>
      <c r="Y96" s="702"/>
      <c r="Z96" s="561" t="str">
        <f>IFERROR(VLOOKUP(X96, 【参考】数式用!$A$2:$B$46, 2, FALSE), "")</f>
        <v/>
      </c>
      <c r="AA96" s="589"/>
      <c r="AB96" s="590"/>
      <c r="AC96" s="591">
        <f t="shared" si="0"/>
        <v>0</v>
      </c>
      <c r="AD96" s="603" t="str">
        <f>IF(B96="", "", IF(COUNTIF(X96,"*独自*"),"数式を削除して手入力",IFERROR(INDEX(【参考】数式用!$O$3:'【参考】数式用'!$Q$452,MATCH(Q96&amp;V96,【参考】数式用!$N$3:'【参考】数式用'!$N$452,0),MATCH(VLOOKUP(X96,【参考】数式用!$R$2:$S$46,2,FALSE),【参考】数式用!$O$2:$Q$2,0)),10)))</f>
        <v/>
      </c>
      <c r="AE96" s="584"/>
      <c r="AF96" s="241"/>
      <c r="AG96" s="257"/>
    </row>
    <row r="97" spans="1:33" ht="49.95" customHeight="1">
      <c r="A97" s="240">
        <f t="shared" si="3"/>
        <v>58</v>
      </c>
      <c r="B97" s="745"/>
      <c r="C97" s="746"/>
      <c r="D97" s="746"/>
      <c r="E97" s="746"/>
      <c r="F97" s="746"/>
      <c r="G97" s="746"/>
      <c r="H97" s="746"/>
      <c r="I97" s="746"/>
      <c r="J97" s="746"/>
      <c r="K97" s="746"/>
      <c r="L97" s="739"/>
      <c r="M97" s="740"/>
      <c r="N97" s="740"/>
      <c r="O97" s="740"/>
      <c r="P97" s="741"/>
      <c r="Q97" s="749"/>
      <c r="R97" s="749"/>
      <c r="S97" s="749"/>
      <c r="T97" s="749"/>
      <c r="U97" s="749"/>
      <c r="V97" s="129"/>
      <c r="W97" s="129"/>
      <c r="X97" s="701"/>
      <c r="Y97" s="702"/>
      <c r="Z97" s="561" t="str">
        <f>IFERROR(VLOOKUP(X97, 【参考】数式用!$A$2:$B$46, 2, FALSE), "")</f>
        <v/>
      </c>
      <c r="AA97" s="589"/>
      <c r="AB97" s="590"/>
      <c r="AC97" s="591">
        <f t="shared" si="0"/>
        <v>0</v>
      </c>
      <c r="AD97" s="603" t="str">
        <f>IF(B97="", "", IF(COUNTIF(X97,"*独自*"),"数式を削除して手入力",IFERROR(INDEX(【参考】数式用!$O$3:'【参考】数式用'!$Q$452,MATCH(Q97&amp;V97,【参考】数式用!$N$3:'【参考】数式用'!$N$452,0),MATCH(VLOOKUP(X97,【参考】数式用!$R$2:$S$46,2,FALSE),【参考】数式用!$O$2:$Q$2,0)),10)))</f>
        <v/>
      </c>
      <c r="AE97" s="584"/>
      <c r="AF97" s="241"/>
      <c r="AG97" s="257"/>
    </row>
    <row r="98" spans="1:33" ht="49.95" customHeight="1">
      <c r="A98" s="240">
        <f t="shared" si="3"/>
        <v>59</v>
      </c>
      <c r="B98" s="745"/>
      <c r="C98" s="746"/>
      <c r="D98" s="746"/>
      <c r="E98" s="746"/>
      <c r="F98" s="746"/>
      <c r="G98" s="746"/>
      <c r="H98" s="746"/>
      <c r="I98" s="746"/>
      <c r="J98" s="746"/>
      <c r="K98" s="746"/>
      <c r="L98" s="739"/>
      <c r="M98" s="740"/>
      <c r="N98" s="740"/>
      <c r="O98" s="740"/>
      <c r="P98" s="741"/>
      <c r="Q98" s="749"/>
      <c r="R98" s="749"/>
      <c r="S98" s="749"/>
      <c r="T98" s="749"/>
      <c r="U98" s="749"/>
      <c r="V98" s="129"/>
      <c r="W98" s="129"/>
      <c r="X98" s="701"/>
      <c r="Y98" s="702"/>
      <c r="Z98" s="561" t="str">
        <f>IFERROR(VLOOKUP(X98, 【参考】数式用!$A$2:$B$46, 2, FALSE), "")</f>
        <v/>
      </c>
      <c r="AA98" s="589"/>
      <c r="AB98" s="590"/>
      <c r="AC98" s="591">
        <f t="shared" si="0"/>
        <v>0</v>
      </c>
      <c r="AD98" s="603" t="str">
        <f>IF(B98="", "", IF(COUNTIF(X98,"*独自*"),"数式を削除して手入力",IFERROR(INDEX(【参考】数式用!$O$3:'【参考】数式用'!$Q$452,MATCH(Q98&amp;V98,【参考】数式用!$N$3:'【参考】数式用'!$N$452,0),MATCH(VLOOKUP(X98,【参考】数式用!$R$2:$S$46,2,FALSE),【参考】数式用!$O$2:$Q$2,0)),10)))</f>
        <v/>
      </c>
      <c r="AE98" s="584"/>
      <c r="AF98" s="241"/>
      <c r="AG98" s="257"/>
    </row>
    <row r="99" spans="1:33" ht="49.95" customHeight="1">
      <c r="A99" s="240">
        <f t="shared" si="3"/>
        <v>60</v>
      </c>
      <c r="B99" s="745"/>
      <c r="C99" s="746"/>
      <c r="D99" s="746"/>
      <c r="E99" s="746"/>
      <c r="F99" s="746"/>
      <c r="G99" s="746"/>
      <c r="H99" s="746"/>
      <c r="I99" s="746"/>
      <c r="J99" s="746"/>
      <c r="K99" s="746"/>
      <c r="L99" s="739"/>
      <c r="M99" s="740"/>
      <c r="N99" s="740"/>
      <c r="O99" s="740"/>
      <c r="P99" s="741"/>
      <c r="Q99" s="749"/>
      <c r="R99" s="749"/>
      <c r="S99" s="749"/>
      <c r="T99" s="749"/>
      <c r="U99" s="749"/>
      <c r="V99" s="129"/>
      <c r="W99" s="129"/>
      <c r="X99" s="701"/>
      <c r="Y99" s="702"/>
      <c r="Z99" s="561" t="str">
        <f>IFERROR(VLOOKUP(X99, 【参考】数式用!$A$2:$B$46, 2, FALSE), "")</f>
        <v/>
      </c>
      <c r="AA99" s="589"/>
      <c r="AB99" s="590"/>
      <c r="AC99" s="591">
        <f t="shared" si="0"/>
        <v>0</v>
      </c>
      <c r="AD99" s="603" t="str">
        <f>IF(B99="", "", IF(COUNTIF(X99,"*独自*"),"数式を削除して手入力",IFERROR(INDEX(【参考】数式用!$O$3:'【参考】数式用'!$Q$452,MATCH(Q99&amp;V99,【参考】数式用!$N$3:'【参考】数式用'!$N$452,0),MATCH(VLOOKUP(X99,【参考】数式用!$R$2:$S$46,2,FALSE),【参考】数式用!$O$2:$Q$2,0)),10)))</f>
        <v/>
      </c>
      <c r="AE99" s="584"/>
      <c r="AF99" s="241"/>
      <c r="AG99" s="257"/>
    </row>
    <row r="100" spans="1:33" ht="49.95" customHeight="1">
      <c r="A100" s="240">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29"/>
      <c r="W100" s="129"/>
      <c r="X100" s="701"/>
      <c r="Y100" s="702"/>
      <c r="Z100" s="561" t="str">
        <f>IFERROR(VLOOKUP(X100, 【参考】数式用!$A$2:$B$46, 2, FALSE), "")</f>
        <v/>
      </c>
      <c r="AA100" s="589"/>
      <c r="AB100" s="590"/>
      <c r="AC100" s="591">
        <f t="shared" si="0"/>
        <v>0</v>
      </c>
      <c r="AD100" s="603" t="str">
        <f>IF(B100="", "", IF(COUNTIF(X100,"*独自*"),"数式を削除して手入力",IFERROR(INDEX(【参考】数式用!$O$3:'【参考】数式用'!$Q$452,MATCH(Q100&amp;V100,【参考】数式用!$N$3:'【参考】数式用'!$N$452,0),MATCH(VLOOKUP(X100,【参考】数式用!$R$2:$S$46,2,FALSE),【参考】数式用!$O$2:$Q$2,0)),10)))</f>
        <v/>
      </c>
      <c r="AE100" s="584"/>
      <c r="AF100" s="241"/>
      <c r="AG100" s="257"/>
    </row>
    <row r="101" spans="1:33" ht="49.95" customHeight="1">
      <c r="A101" s="240">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29"/>
      <c r="W101" s="129"/>
      <c r="X101" s="701"/>
      <c r="Y101" s="702"/>
      <c r="Z101" s="561" t="str">
        <f>IFERROR(VLOOKUP(X101, 【参考】数式用!$A$2:$B$46, 2, FALSE), "")</f>
        <v/>
      </c>
      <c r="AA101" s="589"/>
      <c r="AB101" s="590"/>
      <c r="AC101" s="591">
        <f t="shared" si="0"/>
        <v>0</v>
      </c>
      <c r="AD101" s="603" t="str">
        <f>IF(B101="", "", IF(COUNTIF(X101,"*独自*"),"数式を削除して手入力",IFERROR(INDEX(【参考】数式用!$O$3:'【参考】数式用'!$Q$452,MATCH(Q101&amp;V101,【参考】数式用!$N$3:'【参考】数式用'!$N$452,0),MATCH(VLOOKUP(X101,【参考】数式用!$R$2:$S$46,2,FALSE),【参考】数式用!$O$2:$Q$2,0)),10)))</f>
        <v/>
      </c>
      <c r="AE101" s="584"/>
      <c r="AF101" s="241"/>
      <c r="AG101" s="257"/>
    </row>
    <row r="102" spans="1:33" ht="49.95" customHeight="1">
      <c r="A102" s="240">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29"/>
      <c r="W102" s="129"/>
      <c r="X102" s="701"/>
      <c r="Y102" s="702"/>
      <c r="Z102" s="561" t="str">
        <f>IFERROR(VLOOKUP(X102, 【参考】数式用!$A$2:$B$46, 2, FALSE), "")</f>
        <v/>
      </c>
      <c r="AA102" s="589"/>
      <c r="AB102" s="590"/>
      <c r="AC102" s="591">
        <f t="shared" si="0"/>
        <v>0</v>
      </c>
      <c r="AD102" s="603" t="str">
        <f>IF(B102="", "", IF(COUNTIF(X102,"*独自*"),"数式を削除して手入力",IFERROR(INDEX(【参考】数式用!$O$3:'【参考】数式用'!$Q$452,MATCH(Q102&amp;V102,【参考】数式用!$N$3:'【参考】数式用'!$N$452,0),MATCH(VLOOKUP(X102,【参考】数式用!$R$2:$S$46,2,FALSE),【参考】数式用!$O$2:$Q$2,0)),10)))</f>
        <v/>
      </c>
      <c r="AE102" s="584"/>
      <c r="AF102" s="241"/>
      <c r="AG102" s="257"/>
    </row>
    <row r="103" spans="1:33" ht="49.95" customHeight="1">
      <c r="A103" s="240">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29"/>
      <c r="W103" s="129"/>
      <c r="X103" s="701"/>
      <c r="Y103" s="702"/>
      <c r="Z103" s="561" t="str">
        <f>IFERROR(VLOOKUP(X103, 【参考】数式用!$A$2:$B$46, 2, FALSE), "")</f>
        <v/>
      </c>
      <c r="AA103" s="589"/>
      <c r="AB103" s="590"/>
      <c r="AC103" s="591">
        <f t="shared" si="0"/>
        <v>0</v>
      </c>
      <c r="AD103" s="603" t="str">
        <f>IF(B103="", "", IF(COUNTIF(X103,"*独自*"),"数式を削除して手入力",IFERROR(INDEX(【参考】数式用!$O$3:'【参考】数式用'!$Q$452,MATCH(Q103&amp;V103,【参考】数式用!$N$3:'【参考】数式用'!$N$452,0),MATCH(VLOOKUP(X103,【参考】数式用!$R$2:$S$46,2,FALSE),【参考】数式用!$O$2:$Q$2,0)),10)))</f>
        <v/>
      </c>
      <c r="AE103" s="584"/>
      <c r="AF103" s="241"/>
      <c r="AG103" s="257"/>
    </row>
    <row r="104" spans="1:33" ht="49.95" customHeight="1">
      <c r="A104" s="240">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29"/>
      <c r="W104" s="129"/>
      <c r="X104" s="701"/>
      <c r="Y104" s="702"/>
      <c r="Z104" s="561" t="str">
        <f>IFERROR(VLOOKUP(X104, 【参考】数式用!$A$2:$B$46, 2, FALSE), "")</f>
        <v/>
      </c>
      <c r="AA104" s="589"/>
      <c r="AB104" s="590"/>
      <c r="AC104" s="591">
        <f t="shared" si="0"/>
        <v>0</v>
      </c>
      <c r="AD104" s="603" t="str">
        <f>IF(B104="", "", IF(COUNTIF(X104,"*独自*"),"数式を削除して手入力",IFERROR(INDEX(【参考】数式用!$O$3:'【参考】数式用'!$Q$452,MATCH(Q104&amp;V104,【参考】数式用!$N$3:'【参考】数式用'!$N$452,0),MATCH(VLOOKUP(X104,【参考】数式用!$R$2:$S$46,2,FALSE),【参考】数式用!$O$2:$Q$2,0)),10)))</f>
        <v/>
      </c>
      <c r="AE104" s="584"/>
      <c r="AF104" s="241"/>
      <c r="AG104" s="257"/>
    </row>
    <row r="105" spans="1:33" ht="49.95" customHeight="1">
      <c r="A105" s="240">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29"/>
      <c r="W105" s="129"/>
      <c r="X105" s="701"/>
      <c r="Y105" s="702"/>
      <c r="Z105" s="561" t="str">
        <f>IFERROR(VLOOKUP(X105, 【参考】数式用!$A$2:$B$46, 2, FALSE), "")</f>
        <v/>
      </c>
      <c r="AA105" s="589"/>
      <c r="AB105" s="590"/>
      <c r="AC105" s="591">
        <f t="shared" ref="AC105:AC138" si="4">AA105-AB105</f>
        <v>0</v>
      </c>
      <c r="AD105" s="603" t="str">
        <f>IF(B105="", "", IF(COUNTIF(X105,"*独自*"),"数式を削除して手入力",IFERROR(INDEX(【参考】数式用!$O$3:'【参考】数式用'!$Q$452,MATCH(Q105&amp;V105,【参考】数式用!$N$3:'【参考】数式用'!$N$452,0),MATCH(VLOOKUP(X105,【参考】数式用!$R$2:$S$46,2,FALSE),【参考】数式用!$O$2:$Q$2,0)),10)))</f>
        <v/>
      </c>
      <c r="AE105" s="584"/>
      <c r="AF105" s="241"/>
      <c r="AG105" s="257"/>
    </row>
    <row r="106" spans="1:33" ht="49.95" customHeight="1">
      <c r="A106" s="240">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29"/>
      <c r="W106" s="129"/>
      <c r="X106" s="701"/>
      <c r="Y106" s="702"/>
      <c r="Z106" s="561" t="str">
        <f>IFERROR(VLOOKUP(X106, 【参考】数式用!$A$2:$B$46, 2, FALSE), "")</f>
        <v/>
      </c>
      <c r="AA106" s="589"/>
      <c r="AB106" s="590"/>
      <c r="AC106" s="591">
        <f t="shared" si="4"/>
        <v>0</v>
      </c>
      <c r="AD106" s="603" t="str">
        <f>IF(B106="", "", IF(COUNTIF(X106,"*独自*"),"数式を削除して手入力",IFERROR(INDEX(【参考】数式用!$O$3:'【参考】数式用'!$Q$452,MATCH(Q106&amp;V106,【参考】数式用!$N$3:'【参考】数式用'!$N$452,0),MATCH(VLOOKUP(X106,【参考】数式用!$R$2:$S$46,2,FALSE),【参考】数式用!$O$2:$Q$2,0)),10)))</f>
        <v/>
      </c>
      <c r="AE106" s="584"/>
      <c r="AF106" s="241"/>
      <c r="AG106" s="257"/>
    </row>
    <row r="107" spans="1:33" ht="49.95" customHeight="1">
      <c r="A107" s="240">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29"/>
      <c r="W107" s="129"/>
      <c r="X107" s="701"/>
      <c r="Y107" s="702"/>
      <c r="Z107" s="561" t="str">
        <f>IFERROR(VLOOKUP(X107, 【参考】数式用!$A$2:$B$46, 2, FALSE), "")</f>
        <v/>
      </c>
      <c r="AA107" s="589"/>
      <c r="AB107" s="590"/>
      <c r="AC107" s="591">
        <f t="shared" si="4"/>
        <v>0</v>
      </c>
      <c r="AD107" s="603" t="str">
        <f>IF(B107="", "", IF(COUNTIF(X107,"*独自*"),"数式を削除して手入力",IFERROR(INDEX(【参考】数式用!$O$3:'【参考】数式用'!$Q$452,MATCH(Q107&amp;V107,【参考】数式用!$N$3:'【参考】数式用'!$N$452,0),MATCH(VLOOKUP(X107,【参考】数式用!$R$2:$S$46,2,FALSE),【参考】数式用!$O$2:$Q$2,0)),10)))</f>
        <v/>
      </c>
      <c r="AE107" s="584"/>
      <c r="AF107" s="241"/>
      <c r="AG107" s="257"/>
    </row>
    <row r="108" spans="1:33" ht="49.95" customHeight="1">
      <c r="A108" s="240">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29"/>
      <c r="W108" s="129"/>
      <c r="X108" s="701"/>
      <c r="Y108" s="702"/>
      <c r="Z108" s="561" t="str">
        <f>IFERROR(VLOOKUP(X108, 【参考】数式用!$A$2:$B$46, 2, FALSE), "")</f>
        <v/>
      </c>
      <c r="AA108" s="589"/>
      <c r="AB108" s="590"/>
      <c r="AC108" s="591">
        <f t="shared" si="4"/>
        <v>0</v>
      </c>
      <c r="AD108" s="603" t="str">
        <f>IF(B108="", "", IF(COUNTIF(X108,"*独自*"),"数式を削除して手入力",IFERROR(INDEX(【参考】数式用!$O$3:'【参考】数式用'!$Q$452,MATCH(Q108&amp;V108,【参考】数式用!$N$3:'【参考】数式用'!$N$452,0),MATCH(VLOOKUP(X108,【参考】数式用!$R$2:$S$46,2,FALSE),【参考】数式用!$O$2:$Q$2,0)),10)))</f>
        <v/>
      </c>
      <c r="AE108" s="584"/>
      <c r="AF108" s="241"/>
      <c r="AG108" s="257"/>
    </row>
    <row r="109" spans="1:33" ht="49.95" customHeight="1">
      <c r="A109" s="240">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29"/>
      <c r="W109" s="129"/>
      <c r="X109" s="701"/>
      <c r="Y109" s="702"/>
      <c r="Z109" s="561" t="str">
        <f>IFERROR(VLOOKUP(X109, 【参考】数式用!$A$2:$B$46, 2, FALSE), "")</f>
        <v/>
      </c>
      <c r="AA109" s="589"/>
      <c r="AB109" s="590"/>
      <c r="AC109" s="591">
        <f t="shared" si="4"/>
        <v>0</v>
      </c>
      <c r="AD109" s="603" t="str">
        <f>IF(B109="", "", IF(COUNTIF(X109,"*独自*"),"数式を削除して手入力",IFERROR(INDEX(【参考】数式用!$O$3:'【参考】数式用'!$Q$452,MATCH(Q109&amp;V109,【参考】数式用!$N$3:'【参考】数式用'!$N$452,0),MATCH(VLOOKUP(X109,【参考】数式用!$R$2:$S$46,2,FALSE),【参考】数式用!$O$2:$Q$2,0)),10)))</f>
        <v/>
      </c>
      <c r="AE109" s="584"/>
      <c r="AF109" s="241"/>
      <c r="AG109" s="257"/>
    </row>
    <row r="110" spans="1:33" ht="49.95" customHeight="1">
      <c r="A110" s="240">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29"/>
      <c r="W110" s="129"/>
      <c r="X110" s="701"/>
      <c r="Y110" s="702"/>
      <c r="Z110" s="561" t="str">
        <f>IFERROR(VLOOKUP(X110, 【参考】数式用!$A$2:$B$46, 2, FALSE), "")</f>
        <v/>
      </c>
      <c r="AA110" s="589"/>
      <c r="AB110" s="590"/>
      <c r="AC110" s="591">
        <f t="shared" si="4"/>
        <v>0</v>
      </c>
      <c r="AD110" s="603" t="str">
        <f>IF(B110="", "", IF(COUNTIF(X110,"*独自*"),"数式を削除して手入力",IFERROR(INDEX(【参考】数式用!$O$3:'【参考】数式用'!$Q$452,MATCH(Q110&amp;V110,【参考】数式用!$N$3:'【参考】数式用'!$N$452,0),MATCH(VLOOKUP(X110,【参考】数式用!$R$2:$S$46,2,FALSE),【参考】数式用!$O$2:$Q$2,0)),10)))</f>
        <v/>
      </c>
      <c r="AE110" s="584"/>
      <c r="AF110" s="241"/>
      <c r="AG110" s="257"/>
    </row>
    <row r="111" spans="1:33" ht="49.95" customHeight="1">
      <c r="A111" s="240">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29"/>
      <c r="W111" s="129"/>
      <c r="X111" s="701"/>
      <c r="Y111" s="702"/>
      <c r="Z111" s="561" t="str">
        <f>IFERROR(VLOOKUP(X111, 【参考】数式用!$A$2:$B$46, 2, FALSE), "")</f>
        <v/>
      </c>
      <c r="AA111" s="589"/>
      <c r="AB111" s="590"/>
      <c r="AC111" s="591">
        <f t="shared" si="4"/>
        <v>0</v>
      </c>
      <c r="AD111" s="603" t="str">
        <f>IF(B111="", "", IF(COUNTIF(X111,"*独自*"),"数式を削除して手入力",IFERROR(INDEX(【参考】数式用!$O$3:'【参考】数式用'!$Q$452,MATCH(Q111&amp;V111,【参考】数式用!$N$3:'【参考】数式用'!$N$452,0),MATCH(VLOOKUP(X111,【参考】数式用!$R$2:$S$46,2,FALSE),【参考】数式用!$O$2:$Q$2,0)),10)))</f>
        <v/>
      </c>
      <c r="AE111" s="584"/>
      <c r="AF111" s="241"/>
      <c r="AG111" s="257"/>
    </row>
    <row r="112" spans="1:33" ht="49.95" customHeight="1">
      <c r="A112" s="240">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29"/>
      <c r="W112" s="129"/>
      <c r="X112" s="701"/>
      <c r="Y112" s="702"/>
      <c r="Z112" s="561" t="str">
        <f>IFERROR(VLOOKUP(X112, 【参考】数式用!$A$2:$B$46, 2, FALSE), "")</f>
        <v/>
      </c>
      <c r="AA112" s="589"/>
      <c r="AB112" s="590"/>
      <c r="AC112" s="591">
        <f t="shared" si="4"/>
        <v>0</v>
      </c>
      <c r="AD112" s="603" t="str">
        <f>IF(B112="", "", IF(COUNTIF(X112,"*独自*"),"数式を削除して手入力",IFERROR(INDEX(【参考】数式用!$O$3:'【参考】数式用'!$Q$452,MATCH(Q112&amp;V112,【参考】数式用!$N$3:'【参考】数式用'!$N$452,0),MATCH(VLOOKUP(X112,【参考】数式用!$R$2:$S$46,2,FALSE),【参考】数式用!$O$2:$Q$2,0)),10)))</f>
        <v/>
      </c>
      <c r="AE112" s="584"/>
      <c r="AF112" s="241"/>
      <c r="AG112" s="257"/>
    </row>
    <row r="113" spans="1:33" ht="49.95" customHeight="1">
      <c r="A113" s="240">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29"/>
      <c r="W113" s="129"/>
      <c r="X113" s="701"/>
      <c r="Y113" s="702"/>
      <c r="Z113" s="561" t="str">
        <f>IFERROR(VLOOKUP(X113, 【参考】数式用!$A$2:$B$46, 2, FALSE), "")</f>
        <v/>
      </c>
      <c r="AA113" s="589"/>
      <c r="AB113" s="590"/>
      <c r="AC113" s="591">
        <f t="shared" si="4"/>
        <v>0</v>
      </c>
      <c r="AD113" s="603" t="str">
        <f>IF(B113="", "", IF(COUNTIF(X113,"*独自*"),"数式を削除して手入力",IFERROR(INDEX(【参考】数式用!$O$3:'【参考】数式用'!$Q$452,MATCH(Q113&amp;V113,【参考】数式用!$N$3:'【参考】数式用'!$N$452,0),MATCH(VLOOKUP(X113,【参考】数式用!$R$2:$S$46,2,FALSE),【参考】数式用!$O$2:$Q$2,0)),10)))</f>
        <v/>
      </c>
      <c r="AE113" s="584"/>
      <c r="AF113" s="241"/>
      <c r="AG113" s="257"/>
    </row>
    <row r="114" spans="1:33" ht="49.95" customHeight="1">
      <c r="A114" s="240">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29"/>
      <c r="W114" s="129"/>
      <c r="X114" s="701"/>
      <c r="Y114" s="702"/>
      <c r="Z114" s="561" t="str">
        <f>IFERROR(VLOOKUP(X114, 【参考】数式用!$A$2:$B$46, 2, FALSE), "")</f>
        <v/>
      </c>
      <c r="AA114" s="589"/>
      <c r="AB114" s="590"/>
      <c r="AC114" s="591">
        <f t="shared" si="4"/>
        <v>0</v>
      </c>
      <c r="AD114" s="603" t="str">
        <f>IF(B114="", "", IF(COUNTIF(X114,"*独自*"),"数式を削除して手入力",IFERROR(INDEX(【参考】数式用!$O$3:'【参考】数式用'!$Q$452,MATCH(Q114&amp;V114,【参考】数式用!$N$3:'【参考】数式用'!$N$452,0),MATCH(VLOOKUP(X114,【参考】数式用!$R$2:$S$46,2,FALSE),【参考】数式用!$O$2:$Q$2,0)),10)))</f>
        <v/>
      </c>
      <c r="AE114" s="584"/>
      <c r="AF114" s="241"/>
      <c r="AG114" s="257"/>
    </row>
    <row r="115" spans="1:33" ht="49.95" customHeight="1">
      <c r="A115" s="240">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29"/>
      <c r="W115" s="129"/>
      <c r="X115" s="701"/>
      <c r="Y115" s="702"/>
      <c r="Z115" s="561" t="str">
        <f>IFERROR(VLOOKUP(X115, 【参考】数式用!$A$2:$B$46, 2, FALSE), "")</f>
        <v/>
      </c>
      <c r="AA115" s="589"/>
      <c r="AB115" s="590"/>
      <c r="AC115" s="591">
        <f t="shared" si="4"/>
        <v>0</v>
      </c>
      <c r="AD115" s="603" t="str">
        <f>IF(B115="", "", IF(COUNTIF(X115,"*独自*"),"数式を削除して手入力",IFERROR(INDEX(【参考】数式用!$O$3:'【参考】数式用'!$Q$452,MATCH(Q115&amp;V115,【参考】数式用!$N$3:'【参考】数式用'!$N$452,0),MATCH(VLOOKUP(X115,【参考】数式用!$R$2:$S$46,2,FALSE),【参考】数式用!$O$2:$Q$2,0)),10)))</f>
        <v/>
      </c>
      <c r="AE115" s="584"/>
      <c r="AF115" s="241"/>
      <c r="AG115" s="257"/>
    </row>
    <row r="116" spans="1:33" ht="49.95" customHeight="1">
      <c r="A116" s="240">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29"/>
      <c r="W116" s="129"/>
      <c r="X116" s="701"/>
      <c r="Y116" s="702"/>
      <c r="Z116" s="561" t="str">
        <f>IFERROR(VLOOKUP(X116, 【参考】数式用!$A$2:$B$46, 2, FALSE), "")</f>
        <v/>
      </c>
      <c r="AA116" s="589"/>
      <c r="AB116" s="590"/>
      <c r="AC116" s="591">
        <f t="shared" si="4"/>
        <v>0</v>
      </c>
      <c r="AD116" s="603" t="str">
        <f>IF(B116="", "", IF(COUNTIF(X116,"*独自*"),"数式を削除して手入力",IFERROR(INDEX(【参考】数式用!$O$3:'【参考】数式用'!$Q$452,MATCH(Q116&amp;V116,【参考】数式用!$N$3:'【参考】数式用'!$N$452,0),MATCH(VLOOKUP(X116,【参考】数式用!$R$2:$S$46,2,FALSE),【参考】数式用!$O$2:$Q$2,0)),10)))</f>
        <v/>
      </c>
      <c r="AE116" s="584"/>
      <c r="AF116" s="241"/>
      <c r="AG116" s="257"/>
    </row>
    <row r="117" spans="1:33" ht="49.95" customHeight="1">
      <c r="A117" s="240">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29"/>
      <c r="W117" s="129"/>
      <c r="X117" s="701"/>
      <c r="Y117" s="702"/>
      <c r="Z117" s="561" t="str">
        <f>IFERROR(VLOOKUP(X117, 【参考】数式用!$A$2:$B$46, 2, FALSE), "")</f>
        <v/>
      </c>
      <c r="AA117" s="589"/>
      <c r="AB117" s="590"/>
      <c r="AC117" s="591">
        <f t="shared" si="4"/>
        <v>0</v>
      </c>
      <c r="AD117" s="603" t="str">
        <f>IF(B117="", "", IF(COUNTIF(X117,"*独自*"),"数式を削除して手入力",IFERROR(INDEX(【参考】数式用!$O$3:'【参考】数式用'!$Q$452,MATCH(Q117&amp;V117,【参考】数式用!$N$3:'【参考】数式用'!$N$452,0),MATCH(VLOOKUP(X117,【参考】数式用!$R$2:$S$46,2,FALSE),【参考】数式用!$O$2:$Q$2,0)),10)))</f>
        <v/>
      </c>
      <c r="AE117" s="584"/>
      <c r="AF117" s="241"/>
      <c r="AG117" s="257"/>
    </row>
    <row r="118" spans="1:33" ht="49.95" customHeight="1">
      <c r="A118" s="240">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29"/>
      <c r="W118" s="129"/>
      <c r="X118" s="701"/>
      <c r="Y118" s="702"/>
      <c r="Z118" s="561" t="str">
        <f>IFERROR(VLOOKUP(X118, 【参考】数式用!$A$2:$B$46, 2, FALSE), "")</f>
        <v/>
      </c>
      <c r="AA118" s="589"/>
      <c r="AB118" s="590"/>
      <c r="AC118" s="591">
        <f t="shared" si="4"/>
        <v>0</v>
      </c>
      <c r="AD118" s="603" t="str">
        <f>IF(B118="", "", IF(COUNTIF(X118,"*独自*"),"数式を削除して手入力",IFERROR(INDEX(【参考】数式用!$O$3:'【参考】数式用'!$Q$452,MATCH(Q118&amp;V118,【参考】数式用!$N$3:'【参考】数式用'!$N$452,0),MATCH(VLOOKUP(X118,【参考】数式用!$R$2:$S$46,2,FALSE),【参考】数式用!$O$2:$Q$2,0)),10)))</f>
        <v/>
      </c>
      <c r="AE118" s="584"/>
      <c r="AF118" s="241"/>
      <c r="AG118" s="257"/>
    </row>
    <row r="119" spans="1:33" ht="49.95" customHeight="1">
      <c r="A119" s="240">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29"/>
      <c r="W119" s="129"/>
      <c r="X119" s="701"/>
      <c r="Y119" s="702"/>
      <c r="Z119" s="561" t="str">
        <f>IFERROR(VLOOKUP(X119, 【参考】数式用!$A$2:$B$46, 2, FALSE), "")</f>
        <v/>
      </c>
      <c r="AA119" s="589"/>
      <c r="AB119" s="590"/>
      <c r="AC119" s="591">
        <f t="shared" si="4"/>
        <v>0</v>
      </c>
      <c r="AD119" s="603" t="str">
        <f>IF(B119="", "", IF(COUNTIF(X119,"*独自*"),"数式を削除して手入力",IFERROR(INDEX(【参考】数式用!$O$3:'【参考】数式用'!$Q$452,MATCH(Q119&amp;V119,【参考】数式用!$N$3:'【参考】数式用'!$N$452,0),MATCH(VLOOKUP(X119,【参考】数式用!$R$2:$S$46,2,FALSE),【参考】数式用!$O$2:$Q$2,0)),10)))</f>
        <v/>
      </c>
      <c r="AE119" s="584"/>
      <c r="AF119" s="241"/>
      <c r="AG119" s="257"/>
    </row>
    <row r="120" spans="1:33" ht="49.95" customHeight="1">
      <c r="A120" s="240">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29"/>
      <c r="W120" s="129"/>
      <c r="X120" s="701"/>
      <c r="Y120" s="702"/>
      <c r="Z120" s="561" t="str">
        <f>IFERROR(VLOOKUP(X120, 【参考】数式用!$A$2:$B$46, 2, FALSE), "")</f>
        <v/>
      </c>
      <c r="AA120" s="589"/>
      <c r="AB120" s="590"/>
      <c r="AC120" s="591">
        <f t="shared" si="4"/>
        <v>0</v>
      </c>
      <c r="AD120" s="603" t="str">
        <f>IF(B120="", "", IF(COUNTIF(X120,"*独自*"),"数式を削除して手入力",IFERROR(INDEX(【参考】数式用!$O$3:'【参考】数式用'!$Q$452,MATCH(Q120&amp;V120,【参考】数式用!$N$3:'【参考】数式用'!$N$452,0),MATCH(VLOOKUP(X120,【参考】数式用!$R$2:$S$46,2,FALSE),【参考】数式用!$O$2:$Q$2,0)),10)))</f>
        <v/>
      </c>
      <c r="AE120" s="584"/>
      <c r="AF120" s="241"/>
      <c r="AG120" s="257"/>
    </row>
    <row r="121" spans="1:33" ht="49.95" customHeight="1">
      <c r="A121" s="240">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29"/>
      <c r="W121" s="129"/>
      <c r="X121" s="701"/>
      <c r="Y121" s="702"/>
      <c r="Z121" s="561" t="str">
        <f>IFERROR(VLOOKUP(X121, 【参考】数式用!$A$2:$B$46, 2, FALSE), "")</f>
        <v/>
      </c>
      <c r="AA121" s="589"/>
      <c r="AB121" s="590"/>
      <c r="AC121" s="591">
        <f t="shared" si="4"/>
        <v>0</v>
      </c>
      <c r="AD121" s="603" t="str">
        <f>IF(B121="", "", IF(COUNTIF(X121,"*独自*"),"数式を削除して手入力",IFERROR(INDEX(【参考】数式用!$O$3:'【参考】数式用'!$Q$452,MATCH(Q121&amp;V121,【参考】数式用!$N$3:'【参考】数式用'!$N$452,0),MATCH(VLOOKUP(X121,【参考】数式用!$R$2:$S$46,2,FALSE),【参考】数式用!$O$2:$Q$2,0)),10)))</f>
        <v/>
      </c>
      <c r="AE121" s="584"/>
      <c r="AF121" s="241"/>
      <c r="AG121" s="257"/>
    </row>
    <row r="122" spans="1:33" ht="49.95" customHeight="1">
      <c r="A122" s="240">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29"/>
      <c r="W122" s="129"/>
      <c r="X122" s="701"/>
      <c r="Y122" s="702"/>
      <c r="Z122" s="561" t="str">
        <f>IFERROR(VLOOKUP(X122, 【参考】数式用!$A$2:$B$46, 2, FALSE), "")</f>
        <v/>
      </c>
      <c r="AA122" s="589"/>
      <c r="AB122" s="590"/>
      <c r="AC122" s="591">
        <f t="shared" si="4"/>
        <v>0</v>
      </c>
      <c r="AD122" s="603" t="str">
        <f>IF(B122="", "", IF(COUNTIF(X122,"*独自*"),"数式を削除して手入力",IFERROR(INDEX(【参考】数式用!$O$3:'【参考】数式用'!$Q$452,MATCH(Q122&amp;V122,【参考】数式用!$N$3:'【参考】数式用'!$N$452,0),MATCH(VLOOKUP(X122,【参考】数式用!$R$2:$S$46,2,FALSE),【参考】数式用!$O$2:$Q$2,0)),10)))</f>
        <v/>
      </c>
      <c r="AE122" s="584"/>
      <c r="AF122" s="241"/>
      <c r="AG122" s="257"/>
    </row>
    <row r="123" spans="1:33" ht="49.95" customHeight="1">
      <c r="A123" s="240">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29"/>
      <c r="W123" s="129"/>
      <c r="X123" s="701"/>
      <c r="Y123" s="702"/>
      <c r="Z123" s="561" t="str">
        <f>IFERROR(VLOOKUP(X123, 【参考】数式用!$A$2:$B$46, 2, FALSE), "")</f>
        <v/>
      </c>
      <c r="AA123" s="589"/>
      <c r="AB123" s="590"/>
      <c r="AC123" s="591">
        <f t="shared" si="4"/>
        <v>0</v>
      </c>
      <c r="AD123" s="603" t="str">
        <f>IF(B123="", "", IF(COUNTIF(X123,"*独自*"),"数式を削除して手入力",IFERROR(INDEX(【参考】数式用!$O$3:'【参考】数式用'!$Q$452,MATCH(Q123&amp;V123,【参考】数式用!$N$3:'【参考】数式用'!$N$452,0),MATCH(VLOOKUP(X123,【参考】数式用!$R$2:$S$46,2,FALSE),【参考】数式用!$O$2:$Q$2,0)),10)))</f>
        <v/>
      </c>
      <c r="AE123" s="584"/>
      <c r="AF123" s="241"/>
      <c r="AG123" s="257"/>
    </row>
    <row r="124" spans="1:33" ht="49.95" customHeight="1">
      <c r="A124" s="240">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29"/>
      <c r="W124" s="129"/>
      <c r="X124" s="701"/>
      <c r="Y124" s="702"/>
      <c r="Z124" s="561" t="str">
        <f>IFERROR(VLOOKUP(X124, 【参考】数式用!$A$2:$B$46, 2, FALSE), "")</f>
        <v/>
      </c>
      <c r="AA124" s="589"/>
      <c r="AB124" s="590"/>
      <c r="AC124" s="591">
        <f t="shared" si="4"/>
        <v>0</v>
      </c>
      <c r="AD124" s="603" t="str">
        <f>IF(B124="", "", IF(COUNTIF(X124,"*独自*"),"数式を削除して手入力",IFERROR(INDEX(【参考】数式用!$O$3:'【参考】数式用'!$Q$452,MATCH(Q124&amp;V124,【参考】数式用!$N$3:'【参考】数式用'!$N$452,0),MATCH(VLOOKUP(X124,【参考】数式用!$R$2:$S$46,2,FALSE),【参考】数式用!$O$2:$Q$2,0)),10)))</f>
        <v/>
      </c>
      <c r="AE124" s="584"/>
      <c r="AF124" s="241"/>
      <c r="AG124" s="257"/>
    </row>
    <row r="125" spans="1:33" ht="49.95" customHeight="1">
      <c r="A125" s="240">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29"/>
      <c r="W125" s="129"/>
      <c r="X125" s="701"/>
      <c r="Y125" s="702"/>
      <c r="Z125" s="561" t="str">
        <f>IFERROR(VLOOKUP(X125, 【参考】数式用!$A$2:$B$46, 2, FALSE), "")</f>
        <v/>
      </c>
      <c r="AA125" s="589"/>
      <c r="AB125" s="590"/>
      <c r="AC125" s="591">
        <f t="shared" si="4"/>
        <v>0</v>
      </c>
      <c r="AD125" s="603" t="str">
        <f>IF(B125="", "", IF(COUNTIF(X125,"*独自*"),"数式を削除して手入力",IFERROR(INDEX(【参考】数式用!$O$3:'【参考】数式用'!$Q$452,MATCH(Q125&amp;V125,【参考】数式用!$N$3:'【参考】数式用'!$N$452,0),MATCH(VLOOKUP(X125,【参考】数式用!$R$2:$S$46,2,FALSE),【参考】数式用!$O$2:$Q$2,0)),10)))</f>
        <v/>
      </c>
      <c r="AE125" s="584"/>
      <c r="AF125" s="241"/>
      <c r="AG125" s="257"/>
    </row>
    <row r="126" spans="1:33" ht="49.95" customHeight="1">
      <c r="A126" s="240">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29"/>
      <c r="W126" s="129"/>
      <c r="X126" s="701"/>
      <c r="Y126" s="702"/>
      <c r="Z126" s="561" t="str">
        <f>IFERROR(VLOOKUP(X126, 【参考】数式用!$A$2:$B$46, 2, FALSE), "")</f>
        <v/>
      </c>
      <c r="AA126" s="589"/>
      <c r="AB126" s="590"/>
      <c r="AC126" s="591">
        <f t="shared" si="4"/>
        <v>0</v>
      </c>
      <c r="AD126" s="603" t="str">
        <f>IF(B126="", "", IF(COUNTIF(X126,"*独自*"),"数式を削除して手入力",IFERROR(INDEX(【参考】数式用!$O$3:'【参考】数式用'!$Q$452,MATCH(Q126&amp;V126,【参考】数式用!$N$3:'【参考】数式用'!$N$452,0),MATCH(VLOOKUP(X126,【参考】数式用!$R$2:$S$46,2,FALSE),【参考】数式用!$O$2:$Q$2,0)),10)))</f>
        <v/>
      </c>
      <c r="AE126" s="584"/>
      <c r="AF126" s="241"/>
      <c r="AG126" s="257"/>
    </row>
    <row r="127" spans="1:33" ht="49.95" customHeight="1">
      <c r="A127" s="240">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29"/>
      <c r="W127" s="129"/>
      <c r="X127" s="701"/>
      <c r="Y127" s="702"/>
      <c r="Z127" s="561" t="str">
        <f>IFERROR(VLOOKUP(X127, 【参考】数式用!$A$2:$B$46, 2, FALSE), "")</f>
        <v/>
      </c>
      <c r="AA127" s="589"/>
      <c r="AB127" s="590"/>
      <c r="AC127" s="591">
        <f t="shared" si="4"/>
        <v>0</v>
      </c>
      <c r="AD127" s="603" t="str">
        <f>IF(B127="", "", IF(COUNTIF(X127,"*独自*"),"数式を削除して手入力",IFERROR(INDEX(【参考】数式用!$O$3:'【参考】数式用'!$Q$452,MATCH(Q127&amp;V127,【参考】数式用!$N$3:'【参考】数式用'!$N$452,0),MATCH(VLOOKUP(X127,【参考】数式用!$R$2:$S$46,2,FALSE),【参考】数式用!$O$2:$Q$2,0)),10)))</f>
        <v/>
      </c>
      <c r="AE127" s="584"/>
      <c r="AF127" s="241"/>
      <c r="AG127" s="257"/>
    </row>
    <row r="128" spans="1:33" ht="49.95" customHeight="1">
      <c r="A128" s="240">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29"/>
      <c r="W128" s="129"/>
      <c r="X128" s="701"/>
      <c r="Y128" s="702"/>
      <c r="Z128" s="561" t="str">
        <f>IFERROR(VLOOKUP(X128, 【参考】数式用!$A$2:$B$46, 2, FALSE), "")</f>
        <v/>
      </c>
      <c r="AA128" s="589"/>
      <c r="AB128" s="590"/>
      <c r="AC128" s="591">
        <f t="shared" si="4"/>
        <v>0</v>
      </c>
      <c r="AD128" s="603" t="str">
        <f>IF(B128="", "", IF(COUNTIF(X128,"*独自*"),"数式を削除して手入力",IFERROR(INDEX(【参考】数式用!$O$3:'【参考】数式用'!$Q$452,MATCH(Q128&amp;V128,【参考】数式用!$N$3:'【参考】数式用'!$N$452,0),MATCH(VLOOKUP(X128,【参考】数式用!$R$2:$S$46,2,FALSE),【参考】数式用!$O$2:$Q$2,0)),10)))</f>
        <v/>
      </c>
      <c r="AE128" s="584"/>
      <c r="AF128" s="241"/>
      <c r="AG128" s="257"/>
    </row>
    <row r="129" spans="1:33" ht="49.95" customHeight="1">
      <c r="A129" s="240">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29"/>
      <c r="W129" s="129"/>
      <c r="X129" s="701"/>
      <c r="Y129" s="702"/>
      <c r="Z129" s="561" t="str">
        <f>IFERROR(VLOOKUP(X129, 【参考】数式用!$A$2:$B$46, 2, FALSE), "")</f>
        <v/>
      </c>
      <c r="AA129" s="589"/>
      <c r="AB129" s="590"/>
      <c r="AC129" s="591">
        <f t="shared" si="4"/>
        <v>0</v>
      </c>
      <c r="AD129" s="603" t="str">
        <f>IF(B129="", "", IF(COUNTIF(X129,"*独自*"),"数式を削除して手入力",IFERROR(INDEX(【参考】数式用!$O$3:'【参考】数式用'!$Q$452,MATCH(Q129&amp;V129,【参考】数式用!$N$3:'【参考】数式用'!$N$452,0),MATCH(VLOOKUP(X129,【参考】数式用!$R$2:$S$46,2,FALSE),【参考】数式用!$O$2:$Q$2,0)),10)))</f>
        <v/>
      </c>
      <c r="AE129" s="584"/>
      <c r="AF129" s="241"/>
      <c r="AG129" s="257"/>
    </row>
    <row r="130" spans="1:33" ht="49.95" customHeight="1">
      <c r="A130" s="240">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29"/>
      <c r="W130" s="129"/>
      <c r="X130" s="701"/>
      <c r="Y130" s="702"/>
      <c r="Z130" s="561" t="str">
        <f>IFERROR(VLOOKUP(X130, 【参考】数式用!$A$2:$B$46, 2, FALSE), "")</f>
        <v/>
      </c>
      <c r="AA130" s="589"/>
      <c r="AB130" s="590"/>
      <c r="AC130" s="591">
        <f t="shared" si="4"/>
        <v>0</v>
      </c>
      <c r="AD130" s="603" t="str">
        <f>IF(B130="", "", IF(COUNTIF(X130,"*独自*"),"数式を削除して手入力",IFERROR(INDEX(【参考】数式用!$O$3:'【参考】数式用'!$Q$452,MATCH(Q130&amp;V130,【参考】数式用!$N$3:'【参考】数式用'!$N$452,0),MATCH(VLOOKUP(X130,【参考】数式用!$R$2:$S$46,2,FALSE),【参考】数式用!$O$2:$Q$2,0)),10)))</f>
        <v/>
      </c>
      <c r="AE130" s="584"/>
      <c r="AF130" s="241"/>
      <c r="AG130" s="257"/>
    </row>
    <row r="131" spans="1:33" ht="49.95" customHeight="1">
      <c r="A131" s="240">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29"/>
      <c r="W131" s="129"/>
      <c r="X131" s="701"/>
      <c r="Y131" s="702"/>
      <c r="Z131" s="561" t="str">
        <f>IFERROR(VLOOKUP(X131, 【参考】数式用!$A$2:$B$46, 2, FALSE), "")</f>
        <v/>
      </c>
      <c r="AA131" s="589"/>
      <c r="AB131" s="590"/>
      <c r="AC131" s="591">
        <f t="shared" si="4"/>
        <v>0</v>
      </c>
      <c r="AD131" s="603" t="str">
        <f>IF(B131="", "", IF(COUNTIF(X131,"*独自*"),"数式を削除して手入力",IFERROR(INDEX(【参考】数式用!$O$3:'【参考】数式用'!$Q$452,MATCH(Q131&amp;V131,【参考】数式用!$N$3:'【参考】数式用'!$N$452,0),MATCH(VLOOKUP(X131,【参考】数式用!$R$2:$S$46,2,FALSE),【参考】数式用!$O$2:$Q$2,0)),10)))</f>
        <v/>
      </c>
      <c r="AE131" s="584"/>
      <c r="AF131" s="241"/>
      <c r="AG131" s="257"/>
    </row>
    <row r="132" spans="1:33" ht="49.95" customHeight="1">
      <c r="A132" s="240">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29"/>
      <c r="W132" s="129"/>
      <c r="X132" s="701"/>
      <c r="Y132" s="702"/>
      <c r="Z132" s="561" t="str">
        <f>IFERROR(VLOOKUP(X132, 【参考】数式用!$A$2:$B$46, 2, FALSE), "")</f>
        <v/>
      </c>
      <c r="AA132" s="589"/>
      <c r="AB132" s="590"/>
      <c r="AC132" s="591">
        <f t="shared" si="4"/>
        <v>0</v>
      </c>
      <c r="AD132" s="603" t="str">
        <f>IF(B132="", "", IF(COUNTIF(X132,"*独自*"),"数式を削除して手入力",IFERROR(INDEX(【参考】数式用!$O$3:'【参考】数式用'!$Q$452,MATCH(Q132&amp;V132,【参考】数式用!$N$3:'【参考】数式用'!$N$452,0),MATCH(VLOOKUP(X132,【参考】数式用!$R$2:$S$46,2,FALSE),【参考】数式用!$O$2:$Q$2,0)),10)))</f>
        <v/>
      </c>
      <c r="AE132" s="584"/>
      <c r="AF132" s="241"/>
      <c r="AG132" s="257"/>
    </row>
    <row r="133" spans="1:33" ht="49.95" customHeight="1">
      <c r="A133" s="240">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29"/>
      <c r="W133" s="129"/>
      <c r="X133" s="701"/>
      <c r="Y133" s="702"/>
      <c r="Z133" s="561" t="str">
        <f>IFERROR(VLOOKUP(X133, 【参考】数式用!$A$2:$B$46, 2, FALSE), "")</f>
        <v/>
      </c>
      <c r="AA133" s="589"/>
      <c r="AB133" s="590"/>
      <c r="AC133" s="591">
        <f t="shared" si="4"/>
        <v>0</v>
      </c>
      <c r="AD133" s="603" t="str">
        <f>IF(B133="", "", IF(COUNTIF(X133,"*独自*"),"数式を削除して手入力",IFERROR(INDEX(【参考】数式用!$O$3:'【参考】数式用'!$Q$452,MATCH(Q133&amp;V133,【参考】数式用!$N$3:'【参考】数式用'!$N$452,0),MATCH(VLOOKUP(X133,【参考】数式用!$R$2:$S$46,2,FALSE),【参考】数式用!$O$2:$Q$2,0)),10)))</f>
        <v/>
      </c>
      <c r="AE133" s="584"/>
      <c r="AF133" s="241"/>
      <c r="AG133" s="257"/>
    </row>
    <row r="134" spans="1:33" ht="49.95" customHeight="1">
      <c r="A134" s="240">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29"/>
      <c r="W134" s="129"/>
      <c r="X134" s="701"/>
      <c r="Y134" s="702"/>
      <c r="Z134" s="561" t="str">
        <f>IFERROR(VLOOKUP(X134, 【参考】数式用!$A$2:$B$46, 2, FALSE), "")</f>
        <v/>
      </c>
      <c r="AA134" s="589"/>
      <c r="AB134" s="590"/>
      <c r="AC134" s="591">
        <f t="shared" si="4"/>
        <v>0</v>
      </c>
      <c r="AD134" s="603" t="str">
        <f>IF(B134="", "", IF(COUNTIF(X134,"*独自*"),"数式を削除して手入力",IFERROR(INDEX(【参考】数式用!$O$3:'【参考】数式用'!$Q$452,MATCH(Q134&amp;V134,【参考】数式用!$N$3:'【参考】数式用'!$N$452,0),MATCH(VLOOKUP(X134,【参考】数式用!$R$2:$S$46,2,FALSE),【参考】数式用!$O$2:$Q$2,0)),10)))</f>
        <v/>
      </c>
      <c r="AE134" s="584"/>
      <c r="AF134" s="241"/>
      <c r="AG134" s="257"/>
    </row>
    <row r="135" spans="1:33" ht="49.95" customHeight="1">
      <c r="A135" s="240">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29"/>
      <c r="W135" s="129"/>
      <c r="X135" s="701"/>
      <c r="Y135" s="702"/>
      <c r="Z135" s="561" t="str">
        <f>IFERROR(VLOOKUP(X135, 【参考】数式用!$A$2:$B$46, 2, FALSE), "")</f>
        <v/>
      </c>
      <c r="AA135" s="589"/>
      <c r="AB135" s="590"/>
      <c r="AC135" s="591">
        <f t="shared" si="4"/>
        <v>0</v>
      </c>
      <c r="AD135" s="603" t="str">
        <f>IF(B135="", "", IF(COUNTIF(X135,"*独自*"),"数式を削除して手入力",IFERROR(INDEX(【参考】数式用!$O$3:'【参考】数式用'!$Q$452,MATCH(Q135&amp;V135,【参考】数式用!$N$3:'【参考】数式用'!$N$452,0),MATCH(VLOOKUP(X135,【参考】数式用!$R$2:$S$46,2,FALSE),【参考】数式用!$O$2:$Q$2,0)),10)))</f>
        <v/>
      </c>
      <c r="AE135" s="584"/>
      <c r="AF135" s="241"/>
      <c r="AG135" s="257"/>
    </row>
    <row r="136" spans="1:33" ht="49.95" customHeight="1">
      <c r="A136" s="240">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29"/>
      <c r="W136" s="129"/>
      <c r="X136" s="701"/>
      <c r="Y136" s="702"/>
      <c r="Z136" s="561" t="str">
        <f>IFERROR(VLOOKUP(X136, 【参考】数式用!$A$2:$B$46, 2, FALSE), "")</f>
        <v/>
      </c>
      <c r="AA136" s="589"/>
      <c r="AB136" s="590"/>
      <c r="AC136" s="591">
        <f t="shared" si="4"/>
        <v>0</v>
      </c>
      <c r="AD136" s="603" t="str">
        <f>IF(B136="", "", IF(COUNTIF(X136,"*独自*"),"数式を削除して手入力",IFERROR(INDEX(【参考】数式用!$O$3:'【参考】数式用'!$Q$452,MATCH(Q136&amp;V136,【参考】数式用!$N$3:'【参考】数式用'!$N$452,0),MATCH(VLOOKUP(X136,【参考】数式用!$R$2:$S$46,2,FALSE),【参考】数式用!$O$2:$Q$2,0)),10)))</f>
        <v/>
      </c>
      <c r="AE136" s="584"/>
      <c r="AF136" s="241"/>
      <c r="AG136" s="257"/>
    </row>
    <row r="137" spans="1:33" ht="49.95" customHeight="1">
      <c r="A137" s="240">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29"/>
      <c r="W137" s="129"/>
      <c r="X137" s="701"/>
      <c r="Y137" s="702"/>
      <c r="Z137" s="561" t="str">
        <f>IFERROR(VLOOKUP(X137, 【参考】数式用!$A$2:$B$46, 2, FALSE), "")</f>
        <v/>
      </c>
      <c r="AA137" s="589"/>
      <c r="AB137" s="590"/>
      <c r="AC137" s="591">
        <f t="shared" si="4"/>
        <v>0</v>
      </c>
      <c r="AD137" s="603" t="str">
        <f>IF(B137="", "", IF(COUNTIF(X137,"*独自*"),"数式を削除して手入力",IFERROR(INDEX(【参考】数式用!$O$3:'【参考】数式用'!$Q$452,MATCH(Q137&amp;V137,【参考】数式用!$N$3:'【参考】数式用'!$N$452,0),MATCH(VLOOKUP(X137,【参考】数式用!$R$2:$S$46,2,FALSE),【参考】数式用!$O$2:$Q$2,0)),10)))</f>
        <v/>
      </c>
      <c r="AE137" s="584"/>
      <c r="AF137" s="241"/>
      <c r="AG137" s="257"/>
    </row>
    <row r="138" spans="1:33" ht="49.95" customHeight="1">
      <c r="A138" s="240">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29"/>
      <c r="W138" s="129"/>
      <c r="X138" s="701"/>
      <c r="Y138" s="702"/>
      <c r="Z138" s="561" t="str">
        <f>IFERROR(VLOOKUP(X138, 【参考】数式用!$A$2:$B$46, 2, FALSE), "")</f>
        <v/>
      </c>
      <c r="AA138" s="589"/>
      <c r="AB138" s="590"/>
      <c r="AC138" s="591">
        <f t="shared" si="4"/>
        <v>0</v>
      </c>
      <c r="AD138" s="603" t="str">
        <f>IF(B138="", "", IF(COUNTIF(X138,"*独自*"),"数式を削除して手入力",IFERROR(INDEX(【参考】数式用!$O$3:'【参考】数式用'!$Q$452,MATCH(Q138&amp;V138,【参考】数式用!$N$3:'【参考】数式用'!$N$452,0),MATCH(VLOOKUP(X138,【参考】数式用!$R$2:$S$46,2,FALSE),【参考】数式用!$O$2:$Q$2,0)),10)))</f>
        <v/>
      </c>
      <c r="AE138" s="584"/>
      <c r="AF138" s="241"/>
      <c r="AG138" s="257"/>
    </row>
    <row r="139" spans="1:33" ht="49.95" customHeight="1" thickBot="1">
      <c r="A139" s="674">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0"/>
      <c r="W139" s="130"/>
      <c r="X139" s="703"/>
      <c r="Y139" s="704"/>
      <c r="Z139" s="563" t="str">
        <f>IFERROR(VLOOKUP(X139, 【参考】数式用!$A$2:$B$46, 2, FALSE), "")</f>
        <v/>
      </c>
      <c r="AA139" s="593"/>
      <c r="AB139" s="594"/>
      <c r="AC139" s="595">
        <f>AA139-AB139</f>
        <v>0</v>
      </c>
      <c r="AD139" s="675" t="str">
        <f>IF(B139="", "", IF(COUNTIF(X139,"*独自*"),"数式を削除して手入力",IFERROR(INDEX(【参考】数式用!$O$3:'【参考】数式用'!$Q$452,MATCH(Q139&amp;V139,【参考】数式用!$N$3:'【参考】数式用'!$N$452,0),MATCH(VLOOKUP(X139,【参考】数式用!$R$2:$S$46,2,FALSE),【参考】数式用!$O$2:$Q$2,0)),10)))</f>
        <v/>
      </c>
      <c r="AE139" s="585"/>
      <c r="AF139" s="241"/>
      <c r="AG139" s="257"/>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8"/>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59"/>
      <c r="B1" s="230" t="s">
        <v>2559</v>
      </c>
      <c r="C1" s="64"/>
      <c r="D1" s="64"/>
      <c r="E1" s="64"/>
      <c r="F1" s="64"/>
      <c r="G1" s="64"/>
      <c r="H1" s="64"/>
      <c r="I1" s="64"/>
      <c r="J1" s="64"/>
      <c r="K1" s="64"/>
      <c r="L1" s="64"/>
      <c r="M1" s="64"/>
      <c r="N1" s="64"/>
      <c r="O1" s="64"/>
      <c r="P1" s="64"/>
      <c r="Q1" s="64"/>
      <c r="R1" s="64"/>
      <c r="S1" s="64"/>
      <c r="T1" s="64"/>
      <c r="U1" s="64"/>
      <c r="V1" s="64"/>
      <c r="W1" s="64"/>
      <c r="X1" s="64"/>
      <c r="Y1" s="64"/>
      <c r="Z1" s="229"/>
      <c r="AA1" s="229"/>
      <c r="AB1" s="229"/>
      <c r="AC1" s="939" t="s">
        <v>174</v>
      </c>
      <c r="AD1" s="940"/>
      <c r="AE1" s="940"/>
      <c r="AF1" s="939" t="str">
        <f>IF(基本情報入力シート!V16="", "", 基本情報入力シート!V16)</f>
        <v>奈良県</v>
      </c>
      <c r="AG1" s="940"/>
      <c r="AH1" s="940"/>
      <c r="AI1" s="940"/>
      <c r="AJ1" s="940"/>
      <c r="AK1" s="965"/>
      <c r="AL1" s="59"/>
      <c r="AM1" s="59"/>
      <c r="AN1" s="59"/>
      <c r="AO1" s="59"/>
      <c r="AP1" s="59"/>
      <c r="AQ1" s="59"/>
      <c r="AR1" s="59"/>
      <c r="AS1" s="59"/>
      <c r="AT1" s="59"/>
      <c r="AU1" s="59"/>
      <c r="AV1" s="59"/>
      <c r="AW1" s="59"/>
      <c r="AX1" s="59"/>
      <c r="AY1" s="59"/>
      <c r="BA1" s="843" t="s">
        <v>175</v>
      </c>
      <c r="BB1" s="843"/>
      <c r="BC1" s="843"/>
      <c r="BD1" s="843"/>
      <c r="BE1" s="843"/>
    </row>
    <row r="2" spans="1:57" ht="4.2"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3" t="str">
        <f>IF(基本情報入力シート!V14="", "",基本情報入力シート!V14)</f>
        <v/>
      </c>
      <c r="BB2" s="843"/>
      <c r="BC2" s="843"/>
      <c r="BD2" s="843"/>
      <c r="BE2" s="843"/>
    </row>
    <row r="3" spans="1:57" ht="18.600000000000001" customHeight="1">
      <c r="A3" s="59"/>
      <c r="B3" s="966" t="s">
        <v>176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85"/>
      <c r="AM3" s="386"/>
      <c r="AN3" s="59"/>
      <c r="AO3" s="59"/>
      <c r="AP3" s="59"/>
      <c r="AQ3" s="59"/>
      <c r="AR3" s="59"/>
      <c r="AS3" s="59"/>
      <c r="AT3" s="59"/>
      <c r="AU3" s="59"/>
      <c r="AV3" s="59"/>
      <c r="AW3" s="59"/>
      <c r="AX3" s="59"/>
      <c r="AY3" s="59"/>
      <c r="BA3" s="843"/>
      <c r="BB3" s="843"/>
      <c r="BC3" s="843"/>
      <c r="BD3" s="843"/>
      <c r="BE3" s="843"/>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59"/>
      <c r="AM5" s="59"/>
      <c r="AN5" s="59"/>
      <c r="AO5" s="59"/>
      <c r="AP5" s="59"/>
      <c r="AQ5" s="59"/>
      <c r="AR5" s="59"/>
      <c r="AS5" s="59"/>
      <c r="AT5" s="59"/>
      <c r="AU5" s="59"/>
      <c r="AV5" s="59"/>
      <c r="AW5" s="59"/>
      <c r="AX5" s="59"/>
      <c r="AY5" s="59"/>
    </row>
    <row r="6" spans="1:57" s="29" customFormat="1" ht="13.5" customHeight="1">
      <c r="A6" s="60"/>
      <c r="B6" s="967" t="s">
        <v>13</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0"/>
      <c r="AM6" s="60"/>
      <c r="AN6" s="60"/>
      <c r="AO6" s="60"/>
      <c r="AP6" s="60"/>
      <c r="AQ6" s="60"/>
      <c r="AR6" s="60"/>
      <c r="AS6" s="60"/>
      <c r="AT6" s="60"/>
      <c r="AU6" s="60"/>
      <c r="AV6" s="60"/>
      <c r="AW6" s="60"/>
      <c r="AX6" s="60"/>
      <c r="AY6" s="60"/>
    </row>
    <row r="7" spans="1:57" s="29" customFormat="1" ht="25.5" customHeight="1">
      <c r="A7" s="60"/>
      <c r="B7" s="970" t="s">
        <v>178</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0"/>
      <c r="AM7" s="60"/>
      <c r="AN7" s="60"/>
      <c r="AO7" s="60"/>
      <c r="AP7" s="60"/>
      <c r="AQ7" s="60"/>
      <c r="AR7" s="60"/>
      <c r="AS7" s="60"/>
      <c r="AT7" s="60"/>
      <c r="AU7" s="60"/>
      <c r="AV7" s="60"/>
      <c r="AW7" s="60"/>
      <c r="AX7" s="60"/>
      <c r="AY7" s="60"/>
    </row>
    <row r="8" spans="1:57" s="29" customFormat="1" ht="12.75" customHeight="1">
      <c r="A8" s="60"/>
      <c r="B8" s="948" t="s">
        <v>179</v>
      </c>
      <c r="C8" s="949"/>
      <c r="D8" s="949"/>
      <c r="E8" s="949"/>
      <c r="F8" s="949"/>
      <c r="G8" s="950"/>
      <c r="H8" s="388" t="s">
        <v>16</v>
      </c>
      <c r="I8" s="964" t="str">
        <f>IF(基本情報入力シート!AM24="－","",基本情報入力シート!AM24)</f>
        <v>630-8501</v>
      </c>
      <c r="J8" s="964"/>
      <c r="K8" s="964"/>
      <c r="L8" s="964"/>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60"/>
      <c r="AM8" s="60"/>
      <c r="AN8" s="60"/>
      <c r="AO8" s="60"/>
      <c r="AP8" s="60"/>
      <c r="AQ8" s="60"/>
      <c r="AR8" s="60"/>
      <c r="AS8" s="60"/>
      <c r="AT8" s="60"/>
      <c r="AU8" s="60"/>
      <c r="AV8" s="60"/>
      <c r="AW8" s="60"/>
      <c r="AX8" s="60"/>
      <c r="AY8" s="60"/>
    </row>
    <row r="9" spans="1:57" s="29" customFormat="1" ht="16.5" customHeight="1">
      <c r="A9" s="60"/>
      <c r="B9" s="951"/>
      <c r="C9" s="952"/>
      <c r="D9" s="952"/>
      <c r="E9" s="952"/>
      <c r="F9" s="952"/>
      <c r="G9" s="953"/>
      <c r="H9" s="954" t="str">
        <f>IF(基本情報入力シート!L24="","",基本情報入力シート!L24)</f>
        <v>奈良県奈良市１－１－１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0"/>
      <c r="AM9" s="60"/>
      <c r="AN9" s="60"/>
      <c r="AO9" s="60"/>
      <c r="AP9" s="60"/>
      <c r="AQ9" s="60"/>
      <c r="AR9" s="60"/>
      <c r="AS9" s="60"/>
      <c r="AT9" s="60"/>
      <c r="AU9" s="60"/>
      <c r="AV9" s="60"/>
      <c r="AW9" s="60"/>
      <c r="AX9" s="60"/>
      <c r="AY9" s="60" t="b">
        <v>1</v>
      </c>
    </row>
    <row r="10" spans="1:57" s="29" customFormat="1" ht="16.5" customHeight="1">
      <c r="A10" s="60"/>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0"/>
      <c r="AM10" s="60"/>
      <c r="AN10" s="60"/>
      <c r="AO10" s="60"/>
      <c r="AP10" s="60"/>
      <c r="AQ10" s="60"/>
      <c r="AR10" s="60"/>
      <c r="AS10" s="60"/>
      <c r="AT10" s="60"/>
      <c r="AU10" s="60"/>
      <c r="AV10" s="60"/>
      <c r="AW10" s="60"/>
      <c r="AX10" s="60"/>
      <c r="AY10" s="60"/>
    </row>
    <row r="11" spans="1:57" s="29" customFormat="1" ht="13.5" customHeight="1">
      <c r="A11" s="60"/>
      <c r="B11" s="958" t="s">
        <v>13</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0"/>
      <c r="AM11" s="60"/>
      <c r="AN11" s="60"/>
      <c r="AO11" s="60"/>
      <c r="AP11" s="60"/>
      <c r="AQ11" s="60"/>
      <c r="AR11" s="60"/>
      <c r="AS11" s="60"/>
      <c r="AT11" s="60"/>
      <c r="AU11" s="60"/>
      <c r="AV11" s="60"/>
      <c r="AW11" s="60"/>
      <c r="AX11" s="60"/>
      <c r="AY11" s="60"/>
    </row>
    <row r="12" spans="1:57" s="29" customFormat="1" ht="22.5" customHeight="1">
      <c r="A12" s="60"/>
      <c r="B12" s="951" t="s">
        <v>180</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0"/>
      <c r="AM12" s="60"/>
      <c r="AN12" s="60"/>
      <c r="AO12" s="60"/>
      <c r="AP12" s="60"/>
      <c r="AQ12" s="60"/>
      <c r="AR12" s="60"/>
      <c r="AS12" s="60"/>
      <c r="AT12" s="60"/>
      <c r="AU12" s="60"/>
      <c r="AV12" s="60"/>
      <c r="AW12" s="60"/>
      <c r="AX12" s="60"/>
      <c r="AY12" s="60"/>
    </row>
    <row r="13" spans="1:57" s="29" customFormat="1" ht="18.75" customHeight="1">
      <c r="A13" s="60"/>
      <c r="B13" s="941" t="s">
        <v>181</v>
      </c>
      <c r="C13" s="941"/>
      <c r="D13" s="941"/>
      <c r="E13" s="941"/>
      <c r="F13" s="941"/>
      <c r="G13" s="941"/>
      <c r="H13" s="942" t="s">
        <v>27</v>
      </c>
      <c r="I13" s="941"/>
      <c r="J13" s="941"/>
      <c r="K13" s="941"/>
      <c r="L13" s="943" t="str">
        <f>IF(基本情報入力シート!L31="","",基本情報入力シート!L31)</f>
        <v>000-0000-0000</v>
      </c>
      <c r="M13" s="944"/>
      <c r="N13" s="944"/>
      <c r="O13" s="944"/>
      <c r="P13" s="944"/>
      <c r="Q13" s="944"/>
      <c r="R13" s="944"/>
      <c r="S13" s="944"/>
      <c r="T13" s="944"/>
      <c r="U13" s="945"/>
      <c r="V13" s="946" t="s">
        <v>28</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0" t="s">
        <v>182</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59"/>
      <c r="AM15" s="59"/>
      <c r="AN15" s="59"/>
      <c r="AO15" s="59"/>
      <c r="AP15" s="59"/>
      <c r="AQ15" s="59"/>
      <c r="AR15" s="59"/>
      <c r="AS15" s="59"/>
      <c r="AT15" s="59"/>
      <c r="AU15" s="59"/>
      <c r="AV15" s="59"/>
      <c r="AW15" s="59"/>
      <c r="AX15" s="59"/>
      <c r="AY15" s="59"/>
    </row>
    <row r="16" spans="1:57" ht="18.75" customHeight="1">
      <c r="B16" s="917" t="s">
        <v>183</v>
      </c>
      <c r="C16" s="918"/>
      <c r="D16" s="918"/>
      <c r="E16" s="918"/>
      <c r="F16" s="918"/>
      <c r="G16" s="918"/>
      <c r="H16" s="918"/>
      <c r="I16" s="918"/>
      <c r="J16" s="918"/>
      <c r="K16" s="918"/>
      <c r="L16" s="918"/>
      <c r="M16" s="918"/>
      <c r="N16" s="918"/>
      <c r="O16" s="918"/>
      <c r="P16" s="918"/>
      <c r="Q16" s="918"/>
      <c r="R16" s="918"/>
      <c r="S16" s="918"/>
      <c r="T16" s="918"/>
      <c r="U16" s="918"/>
      <c r="V16" s="918"/>
      <c r="W16" s="919"/>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2" t="s">
        <v>184</v>
      </c>
      <c r="C17" s="875" t="s">
        <v>185</v>
      </c>
      <c r="D17" s="875"/>
      <c r="E17" s="875"/>
      <c r="F17" s="875"/>
      <c r="G17" s="875"/>
      <c r="H17" s="875"/>
      <c r="I17" s="875"/>
      <c r="J17" s="875"/>
      <c r="K17" s="875"/>
      <c r="L17" s="875"/>
      <c r="M17" s="875"/>
      <c r="N17" s="875"/>
      <c r="O17" s="875"/>
      <c r="P17" s="904"/>
      <c r="Q17" s="905">
        <f>'2-2（処遇改善加算　個表）'!L5</f>
        <v>508991952</v>
      </c>
      <c r="R17" s="906"/>
      <c r="S17" s="906"/>
      <c r="T17" s="906"/>
      <c r="U17" s="906"/>
      <c r="V17" s="907"/>
      <c r="W17" s="393"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2" t="s">
        <v>187</v>
      </c>
      <c r="C18" s="903" t="s">
        <v>188</v>
      </c>
      <c r="D18" s="903"/>
      <c r="E18" s="903"/>
      <c r="F18" s="903"/>
      <c r="G18" s="903"/>
      <c r="H18" s="903"/>
      <c r="I18" s="903"/>
      <c r="J18" s="903"/>
      <c r="K18" s="903"/>
      <c r="L18" s="903"/>
      <c r="M18" s="903"/>
      <c r="N18" s="903"/>
      <c r="O18" s="903"/>
      <c r="P18" s="903"/>
      <c r="Q18" s="914">
        <v>10000000</v>
      </c>
      <c r="R18" s="915"/>
      <c r="S18" s="915"/>
      <c r="T18" s="915"/>
      <c r="U18" s="915"/>
      <c r="V18" s="916"/>
      <c r="W18" s="394" t="s">
        <v>186</v>
      </c>
      <c r="X18" s="64" t="s">
        <v>189</v>
      </c>
      <c r="Y18" s="395"/>
      <c r="Z18" s="59"/>
      <c r="AA18" s="59"/>
      <c r="AB18" s="59"/>
      <c r="AC18" s="59"/>
      <c r="AD18" s="59"/>
      <c r="AE18" s="59"/>
      <c r="AF18" s="59"/>
      <c r="AG18" s="59"/>
      <c r="AH18" s="59"/>
      <c r="AI18" s="59"/>
      <c r="AJ18" s="59"/>
      <c r="AK18" s="59"/>
      <c r="AL18" s="59"/>
    </row>
    <row r="19" spans="1:51" ht="28.5" customHeight="1" thickBot="1">
      <c r="A19" s="59"/>
      <c r="B19" s="396" t="s">
        <v>190</v>
      </c>
      <c r="C19" s="903" t="s">
        <v>191</v>
      </c>
      <c r="D19" s="875"/>
      <c r="E19" s="875"/>
      <c r="F19" s="875"/>
      <c r="G19" s="875"/>
      <c r="H19" s="875"/>
      <c r="I19" s="875"/>
      <c r="J19" s="875"/>
      <c r="K19" s="875"/>
      <c r="L19" s="875"/>
      <c r="M19" s="875"/>
      <c r="N19" s="875"/>
      <c r="O19" s="875"/>
      <c r="P19" s="904"/>
      <c r="Q19" s="905">
        <f>Q17+Q18</f>
        <v>518991952</v>
      </c>
      <c r="R19" s="906"/>
      <c r="S19" s="906"/>
      <c r="T19" s="906"/>
      <c r="U19" s="906"/>
      <c r="V19" s="907"/>
      <c r="W19" s="397" t="s">
        <v>186</v>
      </c>
      <c r="X19" s="64" t="s">
        <v>189</v>
      </c>
      <c r="Y19" s="908" t="str">
        <f>IF(H7="", "", IFERROR(IF(Q20&gt;=Q19,"○","×"),""))</f>
        <v>○</v>
      </c>
      <c r="Z19" s="59"/>
      <c r="AA19" s="59"/>
      <c r="AB19" s="59"/>
      <c r="AC19" s="59"/>
      <c r="AD19" s="59"/>
      <c r="AE19" s="59"/>
      <c r="AF19" s="59"/>
      <c r="AG19" s="59"/>
      <c r="AH19" s="59"/>
      <c r="AI19" s="59"/>
      <c r="AJ19" s="59"/>
      <c r="AK19" s="59"/>
      <c r="AL19" s="59"/>
      <c r="AM19" s="910" t="s">
        <v>192</v>
      </c>
      <c r="AN19" s="911"/>
      <c r="AO19" s="911"/>
      <c r="AP19" s="911"/>
      <c r="AQ19" s="911"/>
      <c r="AR19" s="911"/>
      <c r="AS19" s="911"/>
      <c r="AT19" s="911"/>
      <c r="AU19" s="911"/>
      <c r="AV19" s="911"/>
      <c r="AW19" s="911"/>
      <c r="AX19" s="911"/>
      <c r="AY19" s="912"/>
    </row>
    <row r="20" spans="1:51" ht="38.4" customHeight="1" thickBot="1">
      <c r="A20" s="59"/>
      <c r="B20" s="398" t="s">
        <v>193</v>
      </c>
      <c r="C20" s="913" t="s">
        <v>194</v>
      </c>
      <c r="D20" s="913"/>
      <c r="E20" s="913"/>
      <c r="F20" s="913"/>
      <c r="G20" s="913"/>
      <c r="H20" s="913"/>
      <c r="I20" s="913"/>
      <c r="J20" s="913"/>
      <c r="K20" s="913"/>
      <c r="L20" s="913"/>
      <c r="M20" s="913"/>
      <c r="N20" s="913"/>
      <c r="O20" s="913"/>
      <c r="P20" s="913"/>
      <c r="Q20" s="914">
        <v>652500000</v>
      </c>
      <c r="R20" s="915"/>
      <c r="S20" s="915"/>
      <c r="T20" s="915"/>
      <c r="U20" s="915"/>
      <c r="V20" s="916"/>
      <c r="W20" s="399" t="s">
        <v>186</v>
      </c>
      <c r="X20" s="64" t="s">
        <v>189</v>
      </c>
      <c r="Y20" s="909"/>
      <c r="Z20" s="64"/>
      <c r="AA20" s="400"/>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1"/>
      <c r="AV21" s="402"/>
      <c r="AW21" s="59"/>
      <c r="AX21" s="59"/>
      <c r="AY21" s="59"/>
    </row>
    <row r="22" spans="1:51" ht="16.5" customHeight="1">
      <c r="A22" s="235"/>
      <c r="B22" s="403"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2" customHeight="1">
      <c r="A23" s="59"/>
      <c r="B23" s="404" t="s">
        <v>196</v>
      </c>
      <c r="C23" s="983" t="s">
        <v>197</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59"/>
      <c r="AM23" s="59"/>
      <c r="AN23" s="59"/>
      <c r="AO23" s="59"/>
      <c r="AP23" s="59"/>
      <c r="AQ23" s="59"/>
      <c r="AR23" s="59"/>
      <c r="AS23" s="59"/>
      <c r="AT23" s="59"/>
      <c r="AU23" s="59"/>
      <c r="AV23" s="59"/>
      <c r="AW23" s="59"/>
      <c r="AX23" s="59"/>
      <c r="AY23" s="59"/>
    </row>
    <row r="24" spans="1:51" ht="25.2" customHeight="1">
      <c r="A24" s="59"/>
      <c r="B24" s="404" t="s">
        <v>196</v>
      </c>
      <c r="C24" s="983" t="s">
        <v>198</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59"/>
      <c r="AM24" s="59"/>
      <c r="AN24" s="59"/>
      <c r="AO24" s="59"/>
      <c r="AP24" s="59"/>
      <c r="AQ24" s="59"/>
      <c r="AR24" s="59"/>
      <c r="AS24" s="59"/>
      <c r="AT24" s="59"/>
      <c r="AU24" s="59"/>
      <c r="AV24" s="59"/>
      <c r="AW24" s="59"/>
      <c r="AX24" s="59"/>
      <c r="AY24" s="59"/>
    </row>
    <row r="25" spans="1:51" ht="6" customHeight="1">
      <c r="A25" s="59"/>
      <c r="B25" s="66"/>
      <c r="C25" s="66"/>
      <c r="D25" s="66"/>
      <c r="E25" s="66"/>
      <c r="F25" s="405"/>
      <c r="G25" s="113"/>
      <c r="H25" s="113"/>
      <c r="I25" s="113"/>
      <c r="J25" s="113"/>
      <c r="K25" s="113"/>
      <c r="L25" s="113"/>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60"/>
      <c r="AM25" s="60"/>
      <c r="AN25" s="59"/>
      <c r="AO25" s="59"/>
      <c r="AP25" s="59"/>
      <c r="AQ25" s="59"/>
      <c r="AR25" s="59"/>
      <c r="AS25" s="59"/>
      <c r="AT25" s="59"/>
      <c r="AU25" s="59"/>
      <c r="AV25" s="59"/>
      <c r="AW25" s="407"/>
      <c r="AX25" s="59"/>
      <c r="AY25" s="59"/>
    </row>
    <row r="26" spans="1:51" ht="21" customHeight="1">
      <c r="A26" s="59"/>
      <c r="B26" s="984" t="s">
        <v>199</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59"/>
      <c r="AM26" s="59"/>
      <c r="AN26" s="59"/>
      <c r="AO26" s="59"/>
      <c r="AP26" s="59"/>
      <c r="AQ26" s="59"/>
      <c r="AR26" s="59"/>
      <c r="AS26" s="59"/>
      <c r="AT26" s="59"/>
      <c r="AU26" s="59"/>
      <c r="AV26" s="59"/>
      <c r="AW26" s="59"/>
      <c r="AX26" s="59"/>
      <c r="AY26" s="59"/>
    </row>
    <row r="27" spans="1:51" ht="18" customHeight="1" thickBot="1">
      <c r="A27" s="59"/>
      <c r="B27" s="985" t="s">
        <v>200</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59"/>
      <c r="AM27" s="59"/>
      <c r="AN27" s="59"/>
      <c r="AO27" s="59"/>
      <c r="AP27" s="59"/>
      <c r="AQ27" s="59"/>
      <c r="AR27" s="59"/>
      <c r="AS27" s="407"/>
      <c r="AT27" s="59"/>
      <c r="AU27" s="59"/>
      <c r="AV27" s="59"/>
      <c r="AW27" s="59"/>
      <c r="AX27" s="59"/>
      <c r="AY27" s="59"/>
    </row>
    <row r="28" spans="1:51" ht="18" customHeight="1" thickBot="1">
      <c r="A28" s="59"/>
      <c r="B28" s="874" t="s">
        <v>2566</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08"/>
      <c r="AB28" s="408"/>
      <c r="AC28" s="408"/>
      <c r="AD28" s="408"/>
      <c r="AE28" s="408"/>
      <c r="AF28" s="408"/>
      <c r="AG28" s="408"/>
      <c r="AH28" s="408"/>
      <c r="AI28" s="408"/>
      <c r="AJ28" s="409"/>
      <c r="AK28" s="410" t="str" cm="1">
        <f t="array" ref="AK28:AL28">IF(H7="", "", IF('2-2（処遇改善加算　個表）'!AE9:AF9="○", "○", "×"))</f>
        <v>○</v>
      </c>
      <c r="AL28" s="407" t="str">
        <v>×</v>
      </c>
      <c r="AM28" s="59"/>
      <c r="AN28" s="59"/>
      <c r="AO28" s="59"/>
      <c r="AP28" s="59"/>
      <c r="AQ28" s="59"/>
      <c r="AR28" s="407"/>
      <c r="AS28" s="59"/>
      <c r="AT28" s="59"/>
      <c r="AU28" s="59"/>
      <c r="AV28" s="59"/>
      <c r="AW28" s="59"/>
      <c r="AX28" s="59"/>
    </row>
    <row r="29" spans="1:51" ht="18" customHeight="1" thickBot="1">
      <c r="A29" s="59"/>
      <c r="B29" s="411" t="s">
        <v>184</v>
      </c>
      <c r="C29" s="875" t="s">
        <v>201</v>
      </c>
      <c r="D29" s="875"/>
      <c r="E29" s="875"/>
      <c r="F29" s="875"/>
      <c r="G29" s="875"/>
      <c r="H29" s="875"/>
      <c r="I29" s="875"/>
      <c r="J29" s="875"/>
      <c r="K29" s="875"/>
      <c r="L29" s="875"/>
      <c r="M29" s="875"/>
      <c r="N29" s="875"/>
      <c r="O29" s="875"/>
      <c r="P29" s="875"/>
      <c r="Q29" s="875"/>
      <c r="R29" s="875"/>
      <c r="S29" s="875"/>
      <c r="T29" s="986">
        <f>'2-2（処遇改善加算　個表）'!L6</f>
        <v>169857144</v>
      </c>
      <c r="U29" s="987"/>
      <c r="V29" s="987"/>
      <c r="W29" s="987"/>
      <c r="X29" s="987"/>
      <c r="Y29" s="988"/>
      <c r="Z29" s="397" t="s">
        <v>186</v>
      </c>
      <c r="AA29" s="112" t="s">
        <v>189</v>
      </c>
      <c r="AB29" s="908" t="str">
        <f>IF(H7="", "", IFERROR(IF(T30&gt;=T29,"○","×"),""))</f>
        <v>○</v>
      </c>
      <c r="AC29" s="412"/>
      <c r="AD29" s="413"/>
      <c r="AE29" s="413"/>
      <c r="AF29" s="413"/>
      <c r="AG29" s="413"/>
      <c r="AH29" s="413"/>
      <c r="AI29" s="413"/>
      <c r="AJ29" s="413"/>
      <c r="AK29" s="413"/>
      <c r="AL29" s="59"/>
      <c r="AM29" s="879" t="s">
        <v>202</v>
      </c>
      <c r="AN29" s="880"/>
      <c r="AO29" s="880"/>
      <c r="AP29" s="880"/>
      <c r="AQ29" s="880"/>
      <c r="AR29" s="880"/>
      <c r="AS29" s="880"/>
      <c r="AT29" s="880"/>
      <c r="AU29" s="880"/>
      <c r="AV29" s="880"/>
      <c r="AW29" s="880"/>
      <c r="AX29" s="880"/>
      <c r="AY29" s="881"/>
    </row>
    <row r="30" spans="1:51" ht="28.5" customHeight="1" thickBot="1">
      <c r="A30" s="59"/>
      <c r="B30" s="411" t="s">
        <v>187</v>
      </c>
      <c r="C30" s="903" t="s">
        <v>203</v>
      </c>
      <c r="D30" s="903"/>
      <c r="E30" s="903"/>
      <c r="F30" s="903"/>
      <c r="G30" s="903"/>
      <c r="H30" s="903"/>
      <c r="I30" s="903"/>
      <c r="J30" s="903"/>
      <c r="K30" s="903"/>
      <c r="L30" s="903"/>
      <c r="M30" s="903"/>
      <c r="N30" s="903"/>
      <c r="O30" s="903"/>
      <c r="P30" s="903"/>
      <c r="Q30" s="903"/>
      <c r="R30" s="903"/>
      <c r="S30" s="903"/>
      <c r="T30" s="920">
        <v>220000000</v>
      </c>
      <c r="U30" s="921"/>
      <c r="V30" s="921"/>
      <c r="W30" s="921"/>
      <c r="X30" s="921"/>
      <c r="Y30" s="922"/>
      <c r="Z30" s="394" t="s">
        <v>186</v>
      </c>
      <c r="AA30" s="112" t="s">
        <v>189</v>
      </c>
      <c r="AB30" s="909"/>
      <c r="AC30" s="412"/>
      <c r="AD30" s="413"/>
      <c r="AE30" s="413"/>
      <c r="AF30" s="413"/>
      <c r="AG30" s="413"/>
      <c r="AH30" s="413"/>
      <c r="AI30" s="413"/>
      <c r="AJ30" s="413"/>
      <c r="AK30" s="413"/>
      <c r="AL30" s="59"/>
      <c r="AM30" s="882"/>
      <c r="AN30" s="883"/>
      <c r="AO30" s="883"/>
      <c r="AP30" s="883"/>
      <c r="AQ30" s="883"/>
      <c r="AR30" s="883"/>
      <c r="AS30" s="883"/>
      <c r="AT30" s="883"/>
      <c r="AU30" s="883"/>
      <c r="AV30" s="883"/>
      <c r="AW30" s="883"/>
      <c r="AX30" s="883"/>
      <c r="AY30" s="884"/>
    </row>
    <row r="31" spans="1:51" ht="3.75" customHeight="1">
      <c r="A31" s="59"/>
      <c r="B31" s="403"/>
      <c r="C31" s="414"/>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6"/>
      <c r="AN31" s="416"/>
      <c r="AO31" s="416"/>
      <c r="AP31" s="416"/>
      <c r="AQ31" s="59"/>
      <c r="AR31" s="59"/>
      <c r="AS31" s="59"/>
      <c r="AT31" s="59"/>
      <c r="AU31" s="59"/>
      <c r="AV31" s="59"/>
      <c r="AW31" s="59"/>
      <c r="AX31" s="407"/>
      <c r="AY31" s="59"/>
    </row>
    <row r="32" spans="1:51">
      <c r="A32" s="59"/>
      <c r="B32" s="403"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7"/>
      <c r="AM32" s="416"/>
      <c r="AN32" s="416"/>
      <c r="AO32" s="416"/>
      <c r="AP32" s="416"/>
      <c r="AQ32" s="59"/>
      <c r="AR32" s="59"/>
      <c r="AS32" s="59"/>
      <c r="AT32" s="59"/>
      <c r="AU32" s="59"/>
      <c r="AV32" s="59"/>
      <c r="AW32" s="59"/>
      <c r="AX32" s="407"/>
      <c r="AY32" s="59"/>
    </row>
    <row r="33" spans="1:56" ht="19.95" customHeight="1">
      <c r="A33" s="59"/>
      <c r="B33" s="404" t="s">
        <v>196</v>
      </c>
      <c r="C33" s="931" t="s">
        <v>204</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17"/>
      <c r="AM33" s="416"/>
      <c r="AN33" s="416"/>
      <c r="AO33" s="416"/>
      <c r="AP33" s="416"/>
      <c r="AQ33" s="59"/>
      <c r="AR33" s="59"/>
      <c r="AS33" s="59"/>
      <c r="AT33" s="59"/>
      <c r="AU33" s="59"/>
      <c r="AV33" s="59"/>
      <c r="AW33" s="59"/>
      <c r="AX33" s="407"/>
      <c r="AY33" s="59"/>
    </row>
    <row r="34" spans="1:56" ht="7.5" customHeight="1">
      <c r="A34" s="59"/>
      <c r="B34" s="404"/>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7"/>
      <c r="AM34" s="416"/>
      <c r="AN34" s="416"/>
      <c r="AO34" s="416"/>
      <c r="AP34" s="416"/>
      <c r="AQ34" s="59"/>
      <c r="AR34" s="59"/>
      <c r="AS34" s="59"/>
      <c r="AT34" s="59"/>
      <c r="AU34" s="59"/>
      <c r="AV34" s="59"/>
      <c r="AW34" s="59"/>
      <c r="AX34" s="407"/>
      <c r="AY34" s="59"/>
    </row>
    <row r="35" spans="1:56" ht="33.6" customHeight="1" thickBot="1">
      <c r="A35" s="59"/>
      <c r="B35" s="932" t="s">
        <v>205</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59"/>
      <c r="AM35" s="59"/>
      <c r="AN35" s="59"/>
      <c r="AO35" s="59"/>
      <c r="AP35" s="59"/>
      <c r="AQ35" s="59"/>
      <c r="AR35" s="59"/>
      <c r="AS35" s="59"/>
      <c r="AT35" s="59"/>
      <c r="AU35" s="59"/>
      <c r="AV35" s="59"/>
      <c r="AW35" s="59"/>
      <c r="AX35" s="59"/>
      <c r="AY35" s="59"/>
    </row>
    <row r="36" spans="1:56" ht="19.2" customHeight="1" thickBot="1">
      <c r="A36" s="59"/>
      <c r="B36" s="874" t="s">
        <v>2567</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08"/>
      <c r="AB36" s="408"/>
      <c r="AC36" s="408"/>
      <c r="AD36" s="408"/>
      <c r="AE36" s="408"/>
      <c r="AF36" s="408"/>
      <c r="AG36" s="408"/>
      <c r="AH36" s="408"/>
      <c r="AI36" s="408"/>
      <c r="AJ36" s="408"/>
      <c r="AK36" s="410" t="str" cm="1">
        <f t="array" ref="AK36:AL36">IF(H7="", "", IF('2-2（処遇改善加算　個表）'!AG9:AH9="○", "○", "×"))</f>
        <v>○</v>
      </c>
      <c r="AL36" s="407" t="str">
        <v>×</v>
      </c>
      <c r="AM36" s="59"/>
      <c r="AN36" s="59"/>
      <c r="AO36" s="59"/>
      <c r="AP36" s="59"/>
      <c r="AQ36" s="59"/>
      <c r="AR36" s="59"/>
      <c r="AS36" s="59"/>
      <c r="AT36" s="59"/>
      <c r="AU36" s="59"/>
      <c r="AV36" s="59"/>
      <c r="AW36" s="59"/>
      <c r="AX36" s="59"/>
      <c r="AY36" s="59"/>
    </row>
    <row r="37" spans="1:56" ht="28.5" customHeight="1" thickBot="1">
      <c r="A37" s="59"/>
      <c r="B37" s="616" t="s">
        <v>184</v>
      </c>
      <c r="C37" s="1053" t="s">
        <v>206</v>
      </c>
      <c r="D37" s="1053"/>
      <c r="E37" s="1053"/>
      <c r="F37" s="1053"/>
      <c r="G37" s="1053"/>
      <c r="H37" s="1053"/>
      <c r="I37" s="1053"/>
      <c r="J37" s="1053"/>
      <c r="K37" s="1053"/>
      <c r="L37" s="1053"/>
      <c r="M37" s="1053"/>
      <c r="N37" s="1053"/>
      <c r="O37" s="1053"/>
      <c r="P37" s="1053"/>
      <c r="Q37" s="1053"/>
      <c r="R37" s="1053"/>
      <c r="S37" s="1054"/>
      <c r="T37" s="933">
        <f>'2-2（処遇改善加算　個表）'!L7</f>
        <v>12447060</v>
      </c>
      <c r="U37" s="934"/>
      <c r="V37" s="934"/>
      <c r="W37" s="934"/>
      <c r="X37" s="934"/>
      <c r="Y37" s="419" t="s">
        <v>186</v>
      </c>
      <c r="Z37" s="420" t="s">
        <v>189</v>
      </c>
      <c r="AA37" s="421"/>
      <c r="AB37" s="59"/>
      <c r="AC37" s="59"/>
      <c r="AD37" s="59"/>
      <c r="AE37" s="59"/>
      <c r="AF37" s="59"/>
      <c r="AG37" s="59" t="s">
        <v>189</v>
      </c>
      <c r="AH37" s="422" t="str">
        <f>IF(T38&lt;T37,"×","")</f>
        <v/>
      </c>
      <c r="AI37" s="59"/>
      <c r="AJ37" s="59"/>
      <c r="AK37" s="59"/>
      <c r="AL37" s="59"/>
      <c r="AM37" s="935" t="s">
        <v>207</v>
      </c>
      <c r="AN37" s="936"/>
      <c r="AO37" s="936"/>
      <c r="AP37" s="936"/>
      <c r="AQ37" s="936"/>
      <c r="AR37" s="936"/>
      <c r="AS37" s="936"/>
      <c r="AT37" s="936"/>
      <c r="AU37" s="936"/>
      <c r="AV37" s="936"/>
      <c r="AW37" s="936"/>
      <c r="AX37" s="936"/>
      <c r="AY37" s="937"/>
    </row>
    <row r="38" spans="1:56" ht="19.95" customHeight="1" thickBot="1">
      <c r="A38" s="59"/>
      <c r="B38" s="615" t="s">
        <v>187</v>
      </c>
      <c r="C38" s="895" t="s">
        <v>208</v>
      </c>
      <c r="D38" s="895"/>
      <c r="E38" s="895"/>
      <c r="F38" s="895"/>
      <c r="G38" s="895"/>
      <c r="H38" s="895"/>
      <c r="I38" s="895"/>
      <c r="J38" s="895"/>
      <c r="K38" s="895"/>
      <c r="L38" s="895"/>
      <c r="M38" s="895"/>
      <c r="N38" s="895"/>
      <c r="O38" s="895"/>
      <c r="P38" s="895"/>
      <c r="Q38" s="895"/>
      <c r="R38" s="895"/>
      <c r="S38" s="1055"/>
      <c r="T38" s="914">
        <v>13460400</v>
      </c>
      <c r="U38" s="915"/>
      <c r="V38" s="915"/>
      <c r="W38" s="915"/>
      <c r="X38" s="916"/>
      <c r="Y38" s="423" t="s">
        <v>186</v>
      </c>
      <c r="Z38" s="36"/>
      <c r="AA38" s="424" t="s">
        <v>209</v>
      </c>
      <c r="AB38" s="1057">
        <f>IFERROR(T39/T37*100,0)</f>
        <v>80.340257056686482</v>
      </c>
      <c r="AC38" s="1058"/>
      <c r="AD38" s="1059"/>
      <c r="AE38" s="425" t="s">
        <v>210</v>
      </c>
      <c r="AF38" s="425" t="s">
        <v>211</v>
      </c>
      <c r="AG38" s="59" t="s">
        <v>189</v>
      </c>
      <c r="AH38" s="395" t="str">
        <f>IF(OR(T37=0, T37=""),"",(IF(AND(AB38&gt;=200/3, T38&gt;=T39),"○","×")))</f>
        <v>○</v>
      </c>
      <c r="AI38" s="405"/>
      <c r="AJ38" s="405"/>
      <c r="AK38" s="405"/>
      <c r="AL38" s="59"/>
      <c r="AM38" s="876" t="s">
        <v>212</v>
      </c>
      <c r="AN38" s="877"/>
      <c r="AO38" s="877"/>
      <c r="AP38" s="877"/>
      <c r="AQ38" s="877"/>
      <c r="AR38" s="877"/>
      <c r="AS38" s="877"/>
      <c r="AT38" s="877"/>
      <c r="AU38" s="877"/>
      <c r="AV38" s="877"/>
      <c r="AW38" s="877"/>
      <c r="AX38" s="877"/>
      <c r="AY38" s="878"/>
    </row>
    <row r="39" spans="1:56" ht="19.95" customHeight="1" thickBot="1">
      <c r="A39" s="59"/>
      <c r="B39" s="426"/>
      <c r="C39" s="923" t="s">
        <v>213</v>
      </c>
      <c r="D39" s="924"/>
      <c r="E39" s="924"/>
      <c r="F39" s="924"/>
      <c r="G39" s="924"/>
      <c r="H39" s="924"/>
      <c r="I39" s="924"/>
      <c r="J39" s="924"/>
      <c r="K39" s="924"/>
      <c r="L39" s="924"/>
      <c r="M39" s="924"/>
      <c r="N39" s="924"/>
      <c r="O39" s="924"/>
      <c r="P39" s="924"/>
      <c r="Q39" s="924"/>
      <c r="R39" s="924"/>
      <c r="S39" s="924"/>
      <c r="T39" s="927">
        <v>10000000</v>
      </c>
      <c r="U39" s="928"/>
      <c r="V39" s="928"/>
      <c r="W39" s="928"/>
      <c r="X39" s="929"/>
      <c r="Y39" s="427" t="s">
        <v>186</v>
      </c>
      <c r="Z39" s="428" t="s">
        <v>189</v>
      </c>
      <c r="AA39" s="69"/>
      <c r="AB39" s="429"/>
      <c r="AC39" s="430"/>
      <c r="AD39" s="431"/>
      <c r="AE39" s="431"/>
      <c r="AF39" s="425"/>
      <c r="AG39" s="59"/>
      <c r="AH39" s="59"/>
      <c r="AI39" s="405"/>
      <c r="AJ39" s="59"/>
      <c r="AK39" s="405"/>
      <c r="AL39" s="405"/>
      <c r="AM39" s="59"/>
      <c r="AN39" s="59"/>
      <c r="AO39" s="59"/>
      <c r="AP39" s="59"/>
      <c r="AQ39" s="59"/>
      <c r="AR39" s="59"/>
      <c r="AS39" s="59"/>
      <c r="AT39" s="59"/>
      <c r="AU39" s="59"/>
      <c r="AV39" s="59"/>
      <c r="AW39" s="59"/>
      <c r="AX39" s="59"/>
      <c r="AY39" s="59"/>
    </row>
    <row r="40" spans="1:56" ht="19.95" customHeight="1">
      <c r="A40" s="59"/>
      <c r="B40" s="432"/>
      <c r="C40" s="925"/>
      <c r="D40" s="926"/>
      <c r="E40" s="926"/>
      <c r="F40" s="926"/>
      <c r="G40" s="926"/>
      <c r="H40" s="926"/>
      <c r="I40" s="926"/>
      <c r="J40" s="926"/>
      <c r="K40" s="926"/>
      <c r="L40" s="926"/>
      <c r="M40" s="926"/>
      <c r="N40" s="926"/>
      <c r="O40" s="926"/>
      <c r="P40" s="926"/>
      <c r="Q40" s="926"/>
      <c r="R40" s="926"/>
      <c r="S40" s="926"/>
      <c r="T40" s="433" t="s">
        <v>209</v>
      </c>
      <c r="U40" s="930">
        <f>T39/12</f>
        <v>833333.33333333337</v>
      </c>
      <c r="V40" s="930"/>
      <c r="W40" s="930"/>
      <c r="X40" s="67" t="s">
        <v>186</v>
      </c>
      <c r="Y40" s="68" t="s">
        <v>211</v>
      </c>
      <c r="Z40" s="59"/>
      <c r="AA40" s="59"/>
      <c r="AB40" s="59"/>
      <c r="AC40" s="59"/>
      <c r="AD40" s="59"/>
      <c r="AE40" s="59"/>
      <c r="AF40" s="59"/>
      <c r="AG40" s="59"/>
      <c r="AH40" s="199"/>
      <c r="AI40" s="405"/>
      <c r="AJ40" s="405"/>
      <c r="AK40" s="405"/>
      <c r="AL40" s="405"/>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5"/>
      <c r="AK41" s="405"/>
      <c r="AL41" s="405"/>
      <c r="AM41" s="59"/>
      <c r="AN41" s="59"/>
      <c r="AO41" s="59"/>
      <c r="AP41" s="59"/>
      <c r="AQ41" s="59"/>
      <c r="AR41" s="59"/>
      <c r="AS41" s="59"/>
      <c r="AT41" s="59"/>
      <c r="AU41" s="59"/>
      <c r="AV41" s="59"/>
      <c r="AW41" s="59"/>
      <c r="AX41" s="59"/>
      <c r="AY41" s="59"/>
    </row>
    <row r="42" spans="1:56" s="65" customFormat="1" ht="19.95" customHeight="1" thickBot="1">
      <c r="A42" s="308"/>
      <c r="B42" s="434" t="s">
        <v>214</v>
      </c>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100"/>
      <c r="AC42" s="100"/>
      <c r="AD42" s="100"/>
      <c r="AE42" s="100"/>
      <c r="AF42" s="100"/>
      <c r="AG42" s="100"/>
      <c r="AH42" s="100"/>
      <c r="AI42" s="100"/>
      <c r="AJ42" s="434"/>
      <c r="AK42" s="59"/>
      <c r="AL42" s="308"/>
      <c r="AM42" s="1044"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5"/>
      <c r="AO42" s="1045"/>
      <c r="AP42" s="1045"/>
      <c r="AQ42" s="1045"/>
      <c r="AR42" s="1045"/>
      <c r="AS42" s="1045"/>
      <c r="AT42" s="1045"/>
      <c r="AU42" s="1045"/>
      <c r="AV42" s="1045"/>
      <c r="AW42" s="1045"/>
      <c r="AX42" s="1045"/>
      <c r="AY42" s="1046"/>
      <c r="BA42" s="1042" t="s">
        <v>215</v>
      </c>
      <c r="BB42" s="1042"/>
      <c r="BC42" s="1042"/>
      <c r="BD42" s="1042"/>
    </row>
    <row r="43" spans="1:56" s="29" customFormat="1" ht="18" customHeight="1" thickBot="1">
      <c r="A43" s="60"/>
      <c r="B43" s="874" t="s">
        <v>2568</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10" t="str">
        <f>IF(H7="", "", IF('2-2（処遇改善加算　個表）'!AI9="○", "○", "×"))</f>
        <v>○</v>
      </c>
      <c r="AL43" s="60"/>
      <c r="AM43" s="1047"/>
      <c r="AN43" s="1048"/>
      <c r="AO43" s="1048"/>
      <c r="AP43" s="1048"/>
      <c r="AQ43" s="1048"/>
      <c r="AR43" s="1048"/>
      <c r="AS43" s="1048"/>
      <c r="AT43" s="1048"/>
      <c r="AU43" s="1048"/>
      <c r="AV43" s="1048"/>
      <c r="AW43" s="1048"/>
      <c r="AX43" s="1048"/>
      <c r="AY43" s="1049"/>
      <c r="BA43" s="990">
        <f>COUNTIF('2-2（処遇改善加算　個表）'!P:P,"処遇改善加算Ⅰ")+COUNTIF('2-2（処遇改善加算　個表）'!P:P,"処遇改善加算Ⅱ")+COUNTIF('2-2（処遇改善加算　個表）'!P:P,"処遇改善加算Ⅲ")+COUNTIF('2-2（処遇改善加算　個表）'!P:P,"処遇改善加算Ⅳ")</f>
        <v>47</v>
      </c>
      <c r="BB43" s="991"/>
      <c r="BC43" s="991"/>
      <c r="BD43" s="992"/>
    </row>
    <row r="44" spans="1:56" s="29" customFormat="1" ht="6" customHeight="1" thickBot="1">
      <c r="A44" s="60"/>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0"/>
      <c r="AM44" s="435"/>
      <c r="AN44" s="435"/>
      <c r="AO44" s="435"/>
      <c r="AP44" s="435"/>
      <c r="AQ44" s="435"/>
      <c r="AR44" s="435"/>
      <c r="AS44" s="435"/>
      <c r="AT44" s="435"/>
      <c r="AU44" s="435"/>
      <c r="AV44" s="435"/>
      <c r="AW44" s="435"/>
      <c r="AX44" s="435"/>
      <c r="AY44" s="435"/>
      <c r="BA44" s="436"/>
      <c r="BB44" s="436"/>
      <c r="BC44" s="436"/>
    </row>
    <row r="45" spans="1:56" s="29" customFormat="1" ht="21" customHeight="1" thickBot="1">
      <c r="A45" s="60"/>
      <c r="B45" s="998" t="s">
        <v>216</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0"/>
      <c r="AM45" s="1044"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5"/>
      <c r="AO45" s="1045"/>
      <c r="AP45" s="1045"/>
      <c r="AQ45" s="1045"/>
      <c r="AR45" s="1045"/>
      <c r="AS45" s="1045"/>
      <c r="AT45" s="1045"/>
      <c r="AU45" s="1045"/>
      <c r="AV45" s="1045"/>
      <c r="AW45" s="1045"/>
      <c r="AX45" s="1045"/>
      <c r="AY45" s="1046"/>
      <c r="BA45" s="1042" t="s">
        <v>217</v>
      </c>
      <c r="BB45" s="1042"/>
      <c r="BC45" s="1042"/>
      <c r="BD45" s="1042"/>
    </row>
    <row r="46" spans="1:56" s="29" customFormat="1" ht="18" customHeight="1" thickBot="1">
      <c r="A46" s="60"/>
      <c r="B46" s="995" t="s">
        <v>2569</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10" t="str">
        <f>IF(H7="", "", IF('2-2（処遇改善加算　個表）'!AJ9="○", "○", "×"))</f>
        <v>○</v>
      </c>
      <c r="AL46" s="60"/>
      <c r="AM46" s="1047"/>
      <c r="AN46" s="1048"/>
      <c r="AO46" s="1048"/>
      <c r="AP46" s="1048"/>
      <c r="AQ46" s="1048"/>
      <c r="AR46" s="1048"/>
      <c r="AS46" s="1048"/>
      <c r="AT46" s="1048"/>
      <c r="AU46" s="1048"/>
      <c r="AV46" s="1048"/>
      <c r="AW46" s="1048"/>
      <c r="AX46" s="1048"/>
      <c r="AY46" s="1049"/>
      <c r="BA46" s="990">
        <f>COUNTIF('2-2（処遇改善加算　個表）'!P:P, "処遇改善加算Ⅰ")+COUNTIF('2-2（処遇改善加算　個表）'!P:P, "処遇改善加算Ⅱ")+COUNTIF('2-2（処遇改善加算　個表）'!P:P, "処遇改善加算Ⅲ")</f>
        <v>46</v>
      </c>
      <c r="BB46" s="991"/>
      <c r="BC46" s="991"/>
      <c r="BD46" s="992"/>
    </row>
    <row r="47" spans="1:56" s="29" customFormat="1" ht="6" customHeight="1">
      <c r="A47" s="60"/>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60"/>
      <c r="AM47" s="437"/>
      <c r="AN47" s="60"/>
      <c r="AO47" s="60"/>
      <c r="AP47" s="60"/>
      <c r="AQ47" s="60"/>
      <c r="AR47" s="60"/>
      <c r="AS47" s="60"/>
      <c r="AT47" s="60"/>
      <c r="AU47" s="60"/>
      <c r="AV47" s="60"/>
      <c r="AW47" s="60"/>
      <c r="AX47" s="60"/>
      <c r="AY47" s="60"/>
      <c r="BA47" s="436"/>
      <c r="BB47" s="436"/>
      <c r="BC47" s="436"/>
    </row>
    <row r="48" spans="1:56" s="29" customFormat="1" ht="21.75" customHeight="1" thickBot="1">
      <c r="A48" s="60"/>
      <c r="B48" s="938" t="s">
        <v>218</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0"/>
      <c r="AM48" s="60"/>
      <c r="AN48" s="60"/>
      <c r="AO48" s="60"/>
      <c r="AP48" s="60"/>
      <c r="AQ48" s="60"/>
      <c r="AR48" s="60"/>
      <c r="AS48" s="60"/>
      <c r="AT48" s="60"/>
      <c r="AU48" s="60"/>
      <c r="AV48" s="60"/>
      <c r="AW48" s="60"/>
      <c r="AX48" s="60"/>
      <c r="AY48" s="60"/>
      <c r="BA48" s="989" t="s">
        <v>219</v>
      </c>
      <c r="BB48" s="989"/>
      <c r="BC48" s="989"/>
      <c r="BD48" s="989"/>
    </row>
    <row r="49" spans="1:56" ht="18" customHeight="1" thickBot="1">
      <c r="A49" s="59"/>
      <c r="B49" s="1000" t="s">
        <v>2570</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10" t="str">
        <f>IF(H7="", "", IF('2-2（処遇改善加算　個表）'!AK9="○", "○", "×"))</f>
        <v>○</v>
      </c>
      <c r="AL49" s="59"/>
      <c r="AM49" s="59"/>
      <c r="AN49" s="59"/>
      <c r="AO49" s="59"/>
      <c r="AP49" s="59"/>
      <c r="AQ49" s="59"/>
      <c r="AR49" s="59"/>
      <c r="AS49" s="59"/>
      <c r="AT49" s="59"/>
      <c r="AU49" s="59"/>
      <c r="AV49" s="59"/>
      <c r="AW49" s="59"/>
      <c r="AX49" s="407"/>
      <c r="AY49" s="59"/>
      <c r="BA49" s="993">
        <f>COUNTIF('2-2（処遇改善加算　個表）'!P:P, "処遇改善加算Ⅰ")+COUNTIF('2-2（処遇改善加算　個表）'!P:P, "処遇改善加算Ⅱ")</f>
        <v>45</v>
      </c>
      <c r="BB49" s="993"/>
      <c r="BC49" s="993"/>
      <c r="BD49" s="993"/>
    </row>
    <row r="50" spans="1:56" ht="6" customHeight="1" thickBot="1">
      <c r="A50" s="59"/>
      <c r="B50" s="438"/>
      <c r="C50" s="59"/>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59"/>
      <c r="AL50" s="59"/>
      <c r="AM50" s="59"/>
      <c r="AN50" s="59"/>
      <c r="AO50" s="59"/>
      <c r="AP50" s="59"/>
      <c r="AQ50" s="59"/>
      <c r="AR50" s="59"/>
      <c r="AS50" s="59"/>
      <c r="AT50" s="59"/>
      <c r="AU50" s="59"/>
      <c r="AV50" s="59"/>
      <c r="AW50" s="407"/>
      <c r="AX50" s="59"/>
      <c r="AY50" s="59"/>
      <c r="BA50" s="436"/>
      <c r="BB50" s="436"/>
      <c r="BC50" s="436"/>
    </row>
    <row r="51" spans="1:56" ht="17.399999999999999" customHeight="1" thickBot="1">
      <c r="A51" s="59"/>
      <c r="B51" s="439" t="s">
        <v>220</v>
      </c>
      <c r="D51" s="440"/>
      <c r="E51" s="440"/>
      <c r="F51" s="440"/>
      <c r="G51" s="440"/>
      <c r="H51" s="440"/>
      <c r="I51" s="440"/>
      <c r="J51" s="440"/>
      <c r="K51" s="440"/>
      <c r="L51" s="440"/>
      <c r="M51" s="440"/>
      <c r="N51" s="440"/>
      <c r="O51" s="440"/>
      <c r="P51" s="440"/>
      <c r="Q51" s="418"/>
      <c r="R51" s="440"/>
      <c r="S51" s="418"/>
      <c r="T51" s="418"/>
      <c r="U51" s="418"/>
      <c r="V51" s="418"/>
      <c r="W51" s="418"/>
      <c r="X51" s="418"/>
      <c r="Y51" s="418"/>
      <c r="Z51" s="418"/>
      <c r="AA51" s="418"/>
      <c r="AB51" s="418"/>
      <c r="AC51" s="418"/>
      <c r="AD51" s="418"/>
      <c r="AE51" s="418"/>
      <c r="AF51" s="418"/>
      <c r="AG51" s="418"/>
      <c r="AH51" s="418"/>
      <c r="AI51" s="418"/>
      <c r="AJ51" s="418"/>
      <c r="AK51" s="395" t="str">
        <f>IF(H7="", "", IF(AK49="○", "", IF(OR(BA53=TRUE,BA54=TRUE,BA55=TRUE,AND(BA56=TRUE,G56&lt;&gt;"")), "○", "×")))</f>
        <v/>
      </c>
      <c r="AL51" s="59"/>
      <c r="AM51" s="441"/>
      <c r="AN51" s="59"/>
      <c r="AO51" s="59"/>
      <c r="AP51" s="59"/>
      <c r="AQ51" s="59"/>
      <c r="AR51" s="59"/>
      <c r="AS51" s="59"/>
      <c r="AT51" s="59"/>
      <c r="AU51" s="59"/>
      <c r="AV51" s="59"/>
      <c r="AW51" s="59"/>
      <c r="AX51" s="407"/>
      <c r="AY51" s="59"/>
      <c r="BA51" s="436"/>
      <c r="BB51" s="436"/>
      <c r="BC51" s="436"/>
    </row>
    <row r="52" spans="1:56" ht="15.6" customHeight="1" thickBot="1">
      <c r="A52" s="60"/>
      <c r="B52" s="442" t="s">
        <v>221</v>
      </c>
      <c r="C52" s="443"/>
      <c r="D52" s="444"/>
      <c r="E52" s="445"/>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7"/>
      <c r="AL52" s="60"/>
      <c r="AM52" s="876" t="s">
        <v>222</v>
      </c>
      <c r="AN52" s="877"/>
      <c r="AO52" s="877"/>
      <c r="AP52" s="877"/>
      <c r="AQ52" s="877"/>
      <c r="AR52" s="877"/>
      <c r="AS52" s="877"/>
      <c r="AT52" s="877"/>
      <c r="AU52" s="877"/>
      <c r="AV52" s="877"/>
      <c r="AW52" s="877"/>
      <c r="AX52" s="877"/>
      <c r="AY52" s="878"/>
      <c r="BA52" s="436"/>
      <c r="BB52" s="436"/>
      <c r="BC52" s="436"/>
    </row>
    <row r="53" spans="1:56" s="29" customFormat="1" ht="19.95" customHeight="1">
      <c r="A53" s="60"/>
      <c r="B53" s="448"/>
      <c r="C53" s="514"/>
      <c r="D53" s="597" t="s">
        <v>223</v>
      </c>
      <c r="E53" s="598"/>
      <c r="F53" s="598"/>
      <c r="G53" s="598"/>
      <c r="H53" s="598"/>
      <c r="I53" s="598"/>
      <c r="J53" s="598"/>
      <c r="K53" s="598"/>
      <c r="L53" s="598"/>
      <c r="M53" s="598"/>
      <c r="N53" s="598"/>
      <c r="O53" s="598"/>
      <c r="P53" s="598"/>
      <c r="Q53" s="598"/>
      <c r="R53" s="598"/>
      <c r="S53" s="112"/>
      <c r="T53" s="112"/>
      <c r="U53" s="112"/>
      <c r="V53" s="112"/>
      <c r="W53" s="112"/>
      <c r="X53" s="112"/>
      <c r="Y53" s="112"/>
      <c r="Z53" s="112"/>
      <c r="AA53" s="112"/>
      <c r="AB53" s="112"/>
      <c r="AC53" s="112"/>
      <c r="AD53" s="112"/>
      <c r="AE53" s="112"/>
      <c r="AF53" s="112"/>
      <c r="AG53" s="112"/>
      <c r="AH53" s="112"/>
      <c r="AI53" s="113"/>
      <c r="AJ53" s="596"/>
      <c r="AK53" s="449"/>
      <c r="AL53" s="60"/>
      <c r="AM53" s="60"/>
      <c r="AN53" s="450"/>
      <c r="AO53" s="450"/>
      <c r="AP53" s="450"/>
      <c r="AQ53" s="450"/>
      <c r="AR53" s="450"/>
      <c r="AS53" s="450"/>
      <c r="AT53" s="450"/>
      <c r="AU53" s="450"/>
      <c r="AV53" s="451"/>
      <c r="AW53" s="452"/>
      <c r="AX53" s="60"/>
      <c r="AY53" s="60"/>
      <c r="BA53" s="609" t="b">
        <v>0</v>
      </c>
      <c r="BB53" s="436"/>
      <c r="BC53" s="436"/>
    </row>
    <row r="54" spans="1:56" s="29" customFormat="1" ht="19.95" customHeight="1">
      <c r="A54" s="60"/>
      <c r="B54" s="448"/>
      <c r="C54" s="515"/>
      <c r="D54" s="415" t="s">
        <v>224</v>
      </c>
      <c r="E54" s="599"/>
      <c r="F54" s="599"/>
      <c r="G54" s="599"/>
      <c r="H54" s="599"/>
      <c r="I54" s="599"/>
      <c r="J54" s="599"/>
      <c r="K54" s="599"/>
      <c r="L54" s="599"/>
      <c r="M54" s="599"/>
      <c r="N54" s="599"/>
      <c r="O54" s="599"/>
      <c r="P54" s="599"/>
      <c r="Q54" s="599"/>
      <c r="R54" s="599"/>
      <c r="S54" s="599"/>
      <c r="T54" s="112"/>
      <c r="U54" s="112"/>
      <c r="V54" s="112"/>
      <c r="W54" s="112"/>
      <c r="X54" s="112"/>
      <c r="Y54" s="112"/>
      <c r="Z54" s="112"/>
      <c r="AA54" s="112"/>
      <c r="AB54" s="112"/>
      <c r="AC54" s="112"/>
      <c r="AD54" s="112"/>
      <c r="AE54" s="112"/>
      <c r="AF54" s="112"/>
      <c r="AG54" s="112"/>
      <c r="AH54" s="112"/>
      <c r="AI54" s="113"/>
      <c r="AJ54" s="596"/>
      <c r="AK54" s="449"/>
      <c r="AL54" s="60"/>
      <c r="AM54" s="60"/>
      <c r="AN54" s="450"/>
      <c r="AO54" s="450"/>
      <c r="AP54" s="450"/>
      <c r="AQ54" s="450"/>
      <c r="AR54" s="450"/>
      <c r="AS54" s="450"/>
      <c r="AT54" s="450"/>
      <c r="AU54" s="451"/>
      <c r="AV54" s="452"/>
      <c r="AW54" s="60"/>
      <c r="AX54" s="60"/>
      <c r="AY54" s="60"/>
      <c r="BA54" s="609" t="b">
        <v>0</v>
      </c>
      <c r="BB54" s="436"/>
      <c r="BC54" s="436"/>
    </row>
    <row r="55" spans="1:56" s="29" customFormat="1" ht="19.95" customHeight="1" thickBot="1">
      <c r="A55" s="60"/>
      <c r="B55" s="448"/>
      <c r="C55" s="515"/>
      <c r="D55" s="873" t="s">
        <v>225</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596"/>
      <c r="AK55" s="449"/>
      <c r="AL55" s="450"/>
      <c r="AM55" s="60"/>
      <c r="AN55" s="450"/>
      <c r="AO55" s="450"/>
      <c r="AP55" s="450"/>
      <c r="AQ55" s="450"/>
      <c r="AR55" s="450"/>
      <c r="AS55" s="450"/>
      <c r="AT55" s="450"/>
      <c r="AU55" s="451"/>
      <c r="AV55" s="452"/>
      <c r="AW55" s="60"/>
      <c r="AX55" s="60"/>
      <c r="AY55" s="60"/>
      <c r="BA55" s="609" t="b">
        <v>0</v>
      </c>
      <c r="BB55" s="436"/>
      <c r="BC55" s="436"/>
    </row>
    <row r="56" spans="1:56" s="29" customFormat="1" ht="19.95" customHeight="1" thickBot="1">
      <c r="A56" s="60"/>
      <c r="B56" s="453"/>
      <c r="C56" s="516"/>
      <c r="D56" s="600" t="s">
        <v>226</v>
      </c>
      <c r="E56" s="601"/>
      <c r="F56" s="602"/>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54" t="s">
        <v>211</v>
      </c>
      <c r="AL56" s="60"/>
      <c r="AM56" s="847" t="s">
        <v>227</v>
      </c>
      <c r="AN56" s="848"/>
      <c r="AO56" s="848"/>
      <c r="AP56" s="848"/>
      <c r="AQ56" s="848"/>
      <c r="AR56" s="848"/>
      <c r="AS56" s="848"/>
      <c r="AT56" s="848"/>
      <c r="AU56" s="848"/>
      <c r="AV56" s="848"/>
      <c r="AW56" s="848"/>
      <c r="AX56" s="848"/>
      <c r="AY56" s="849"/>
      <c r="AZ56" s="455"/>
      <c r="BA56" s="609" t="b">
        <v>0</v>
      </c>
      <c r="BB56" s="436"/>
      <c r="BC56" s="436"/>
    </row>
    <row r="57" spans="1:56" s="29" customFormat="1" ht="4.95" customHeight="1">
      <c r="A57" s="59"/>
      <c r="B57" s="456"/>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59"/>
      <c r="AM57" s="60"/>
      <c r="AN57" s="60"/>
      <c r="AO57" s="60"/>
      <c r="AP57" s="60"/>
      <c r="AQ57" s="60"/>
      <c r="AR57" s="60"/>
      <c r="AS57" s="60"/>
      <c r="AT57" s="60"/>
      <c r="AU57" s="60"/>
      <c r="AV57" s="60"/>
      <c r="AW57" s="60"/>
      <c r="AX57" s="60"/>
      <c r="AY57" s="60"/>
      <c r="BA57" s="436"/>
      <c r="BB57" s="436"/>
      <c r="BC57" s="436"/>
    </row>
    <row r="58" spans="1:56" ht="15" customHeight="1" thickBot="1">
      <c r="A58" s="59"/>
      <c r="B58" s="938" t="s">
        <v>228</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59"/>
      <c r="AM58" s="59"/>
      <c r="AN58" s="59"/>
      <c r="AO58" s="59"/>
      <c r="AP58" s="59"/>
      <c r="AQ58" s="59"/>
      <c r="AR58" s="59"/>
      <c r="AS58" s="59"/>
      <c r="AT58" s="59"/>
      <c r="AU58" s="59"/>
      <c r="AV58" s="59"/>
      <c r="AW58" s="59"/>
      <c r="AX58" s="59"/>
      <c r="AY58" s="59"/>
      <c r="AZ58" s="29"/>
      <c r="BA58" s="989" t="s">
        <v>229</v>
      </c>
      <c r="BB58" s="989"/>
      <c r="BC58" s="989"/>
      <c r="BD58" s="989"/>
    </row>
    <row r="59" spans="1:56" ht="18" customHeight="1" thickBot="1">
      <c r="A59" s="59"/>
      <c r="B59" s="995" t="s">
        <v>2571</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58" t="str">
        <f>IF(H7="", "", IF('2-2（処遇改善加算　個表）'!AL9="○", "○", "×"))</f>
        <v>○</v>
      </c>
      <c r="AL59" s="59"/>
      <c r="AM59" s="59"/>
      <c r="AN59" s="59"/>
      <c r="AO59" s="59"/>
      <c r="AP59" s="59"/>
      <c r="AQ59" s="59"/>
      <c r="AR59" s="59"/>
      <c r="AS59" s="59"/>
      <c r="AT59" s="59"/>
      <c r="AU59" s="59"/>
      <c r="AV59" s="59"/>
      <c r="AW59" s="59"/>
      <c r="AX59" s="59"/>
      <c r="AY59" s="59"/>
      <c r="BA59" s="1050">
        <f>COUNTIF('2-2（処遇改善加算　個表）'!P:P, "処遇改善加算Ⅰ")</f>
        <v>44</v>
      </c>
      <c r="BB59" s="1050"/>
      <c r="BC59" s="1050"/>
      <c r="BD59" s="1050"/>
    </row>
    <row r="60" spans="1:56" ht="6" customHeight="1">
      <c r="A60" s="60"/>
      <c r="B60" s="66"/>
      <c r="C60" s="66"/>
      <c r="D60" s="66"/>
      <c r="E60" s="66"/>
      <c r="F60" s="405"/>
      <c r="G60" s="113"/>
      <c r="H60" s="113"/>
      <c r="I60" s="113"/>
      <c r="J60" s="113"/>
      <c r="K60" s="113"/>
      <c r="L60" s="113"/>
      <c r="M60" s="459"/>
      <c r="N60" s="459"/>
      <c r="O60" s="459"/>
      <c r="P60" s="459"/>
      <c r="Q60" s="459"/>
      <c r="R60" s="459"/>
      <c r="S60" s="459"/>
      <c r="T60" s="459"/>
      <c r="U60" s="113"/>
      <c r="V60" s="113"/>
      <c r="W60" s="421"/>
      <c r="X60" s="113"/>
      <c r="Y60" s="113"/>
      <c r="Z60" s="113"/>
      <c r="AA60" s="459"/>
      <c r="AB60" s="113"/>
      <c r="AC60" s="113"/>
      <c r="AD60" s="113"/>
      <c r="AE60" s="113"/>
      <c r="AF60" s="113"/>
      <c r="AG60" s="113"/>
      <c r="AH60" s="113"/>
      <c r="AI60" s="113"/>
      <c r="AJ60" s="113"/>
      <c r="AK60" s="113"/>
      <c r="AL60" s="60"/>
      <c r="AM60" s="441"/>
      <c r="AN60" s="59"/>
      <c r="AO60" s="59"/>
      <c r="AP60" s="59"/>
      <c r="AQ60" s="59"/>
      <c r="AR60" s="59"/>
      <c r="AS60" s="59"/>
      <c r="AT60" s="59"/>
      <c r="AU60" s="59"/>
      <c r="AV60" s="59"/>
      <c r="AW60" s="59"/>
      <c r="AX60" s="59"/>
      <c r="AY60" s="59"/>
    </row>
    <row r="61" spans="1:56" s="29" customFormat="1" ht="17.399999999999999" customHeight="1" thickBot="1">
      <c r="A61" s="308"/>
      <c r="B61" s="828" t="s">
        <v>230</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29"/>
      <c r="AM61" s="60"/>
      <c r="AN61" s="460"/>
      <c r="AO61" s="60"/>
      <c r="AP61" s="60"/>
      <c r="AQ61" s="60"/>
      <c r="AR61" s="60"/>
      <c r="AS61" s="60"/>
      <c r="AT61" s="60"/>
      <c r="AU61" s="60"/>
      <c r="AV61" s="60"/>
      <c r="AW61" s="60"/>
      <c r="AX61" s="60"/>
      <c r="AY61" s="60"/>
    </row>
    <row r="62" spans="1:56" s="65" customFormat="1" ht="30" customHeight="1" thickBot="1">
      <c r="A62" s="308"/>
      <c r="B62" s="829" t="s">
        <v>231</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78" t="s">
        <v>2653</v>
      </c>
      <c r="AL62" s="229"/>
      <c r="AM62" s="139"/>
      <c r="AN62" s="139"/>
      <c r="AO62" s="139"/>
      <c r="AP62" s="139"/>
      <c r="AQ62" s="139"/>
      <c r="AR62" s="139"/>
      <c r="AS62" s="139"/>
      <c r="AT62" s="139"/>
      <c r="AU62" s="139"/>
      <c r="AV62" s="139"/>
      <c r="AW62" s="139"/>
      <c r="AX62" s="139"/>
      <c r="AY62" s="139"/>
    </row>
    <row r="63" spans="1:56" s="65" customFormat="1" ht="31.5" customHeight="1" thickBot="1">
      <c r="A63" s="308"/>
      <c r="B63" s="1002" t="s">
        <v>232</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61" t="str">
        <f>IF(H7="", "", IF(AK62="○", "", IF(OR(AND(AI65="該当", BA72&gt;=2, BA76&gt;=2, BA80&gt;=2, BA84&gt;=2, BA88&gt;=3, OR(E88="✓", E88="誓約",E89="✓", E89="誓約"),BA96&gt;=2), AND(AI65="", BA72&gt;=1, BA76&gt;=1, BA80&gt;=1, BA84&gt;=1, BA88&gt;=1, BA96&gt;=1)), "○", "×")))</f>
        <v/>
      </c>
      <c r="AL63" s="229"/>
      <c r="AM63" s="462"/>
      <c r="AN63" s="462"/>
      <c r="AO63" s="462"/>
      <c r="AP63" s="462"/>
      <c r="AQ63" s="462"/>
      <c r="AR63" s="462"/>
      <c r="AS63" s="462"/>
      <c r="AT63" s="462"/>
      <c r="AU63" s="462"/>
      <c r="AV63" s="462"/>
      <c r="AW63" s="462"/>
      <c r="AX63" s="462"/>
      <c r="AY63" s="462"/>
    </row>
    <row r="64" spans="1:56" s="65" customFormat="1" ht="7.95" customHeight="1" thickBot="1">
      <c r="A64" s="308"/>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4"/>
      <c r="AL64" s="229"/>
      <c r="AM64" s="462"/>
      <c r="AN64" s="462"/>
      <c r="AO64" s="462"/>
      <c r="AP64" s="462"/>
      <c r="AQ64" s="462"/>
      <c r="AR64" s="462"/>
      <c r="AS64" s="462"/>
      <c r="AT64" s="462"/>
      <c r="AU64" s="462"/>
      <c r="AV64" s="462"/>
      <c r="AW64" s="462"/>
      <c r="AX64" s="462"/>
      <c r="AY64" s="462"/>
    </row>
    <row r="65" spans="1:53" ht="13.95" customHeight="1" thickBot="1">
      <c r="A65" s="59"/>
      <c r="B65" s="414" t="s">
        <v>233</v>
      </c>
      <c r="C65" s="415"/>
      <c r="D65" s="415"/>
      <c r="E65" s="415"/>
      <c r="F65" s="415"/>
      <c r="G65" s="415"/>
      <c r="H65" s="415"/>
      <c r="I65" s="415"/>
      <c r="J65" s="415"/>
      <c r="K65" s="415"/>
      <c r="L65" s="415"/>
      <c r="M65" s="415"/>
      <c r="N65" s="415"/>
      <c r="O65" s="415"/>
      <c r="P65" s="415"/>
      <c r="Q65" s="415"/>
      <c r="R65" s="415"/>
      <c r="S65" s="415"/>
      <c r="T65" s="415"/>
      <c r="U65" s="415"/>
      <c r="V65" s="60"/>
      <c r="W65" s="415"/>
      <c r="X65" s="415"/>
      <c r="Y65" s="415"/>
      <c r="Z65" s="415"/>
      <c r="AA65" s="415"/>
      <c r="AB65" s="415"/>
      <c r="AC65" s="415"/>
      <c r="AD65" s="415"/>
      <c r="AE65" s="415"/>
      <c r="AF65" s="415"/>
      <c r="AG65" s="415"/>
      <c r="AH65" s="60"/>
      <c r="AI65" s="831" t="str">
        <f>IF(BA49&gt;0,"該当","")</f>
        <v>該当</v>
      </c>
      <c r="AJ65" s="832"/>
      <c r="AK65" s="833"/>
      <c r="AL65" s="60"/>
      <c r="AM65" s="308"/>
      <c r="AN65" s="308"/>
      <c r="AO65" s="308"/>
      <c r="AP65" s="308"/>
      <c r="AQ65" s="308"/>
      <c r="AR65" s="308"/>
      <c r="AS65" s="308"/>
      <c r="AT65" s="308"/>
      <c r="AU65" s="308"/>
      <c r="AV65" s="308"/>
      <c r="AW65" s="308"/>
      <c r="AX65" s="308"/>
      <c r="AY65" s="308"/>
    </row>
    <row r="66" spans="1:53" ht="45.6" customHeight="1">
      <c r="A66" s="59"/>
      <c r="B66" s="465" t="s">
        <v>234</v>
      </c>
      <c r="C66" s="834" t="s">
        <v>235</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0"/>
      <c r="AM66" s="60"/>
      <c r="AN66" s="60"/>
      <c r="AO66" s="60"/>
      <c r="AP66" s="60"/>
      <c r="AQ66" s="60"/>
      <c r="AR66" s="60"/>
      <c r="AS66" s="60"/>
      <c r="AT66" s="60"/>
      <c r="AU66" s="60"/>
      <c r="AV66" s="60"/>
      <c r="AW66" s="60"/>
      <c r="AX66" s="60"/>
      <c r="AY66" s="60"/>
    </row>
    <row r="67" spans="1:53" ht="7.95"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8" thickBot="1">
      <c r="A68" s="59"/>
      <c r="B68" s="414" t="s">
        <v>236</v>
      </c>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15"/>
      <c r="AI68" s="835" t="str">
        <f>IF(BA43-BA49&gt;0,"該当","")</f>
        <v>該当</v>
      </c>
      <c r="AJ68" s="836"/>
      <c r="AK68" s="837"/>
      <c r="AL68" s="60"/>
      <c r="AM68" s="60"/>
      <c r="AN68" s="60"/>
      <c r="AO68" s="59"/>
      <c r="AP68" s="60"/>
      <c r="AQ68" s="60"/>
      <c r="AR68" s="60"/>
      <c r="AS68" s="60"/>
      <c r="AT68" s="60"/>
      <c r="AU68" s="60"/>
      <c r="AV68" s="60"/>
      <c r="AW68" s="60"/>
      <c r="AX68" s="60"/>
      <c r="AY68" s="60"/>
    </row>
    <row r="69" spans="1:53" ht="47.4" customHeight="1">
      <c r="A69" s="59"/>
      <c r="B69" s="465" t="s">
        <v>234</v>
      </c>
      <c r="C69" s="834" t="s">
        <v>237</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0"/>
      <c r="AM69" s="60"/>
      <c r="AN69" s="60"/>
      <c r="AO69" s="60"/>
      <c r="AP69" s="60"/>
      <c r="AQ69" s="60"/>
      <c r="AR69" s="60"/>
      <c r="AS69" s="60"/>
      <c r="AT69" s="60"/>
      <c r="AU69" s="60"/>
      <c r="AV69" s="60"/>
      <c r="AW69" s="60"/>
      <c r="AX69" s="60"/>
      <c r="AY69" s="60"/>
    </row>
    <row r="70" spans="1:53" ht="7.95" customHeight="1">
      <c r="A70" s="59"/>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60"/>
      <c r="AM70" s="60"/>
      <c r="AN70" s="60"/>
      <c r="AO70" s="60"/>
      <c r="AP70" s="60"/>
      <c r="AQ70" s="60"/>
      <c r="AR70" s="60"/>
      <c r="AS70" s="60"/>
      <c r="AT70" s="60"/>
      <c r="AU70" s="60"/>
      <c r="AV70" s="60"/>
      <c r="AW70" s="60"/>
      <c r="AX70" s="60"/>
      <c r="AY70" s="60"/>
    </row>
    <row r="71" spans="1:53" ht="19.95" customHeight="1" thickBot="1">
      <c r="A71" s="59"/>
      <c r="B71" s="866" t="s">
        <v>238</v>
      </c>
      <c r="C71" s="867"/>
      <c r="D71" s="868"/>
      <c r="E71" s="825" t="s">
        <v>239</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0"/>
      <c r="AM71" s="59"/>
      <c r="AN71" s="139"/>
      <c r="AO71" s="139"/>
      <c r="AP71" s="139"/>
      <c r="AQ71" s="139"/>
      <c r="AR71" s="139"/>
      <c r="AS71" s="139"/>
      <c r="AT71" s="139"/>
      <c r="AU71" s="139"/>
      <c r="AV71" s="139"/>
      <c r="AW71" s="139"/>
      <c r="AX71" s="139"/>
      <c r="AY71" s="139"/>
      <c r="AZ71" s="269"/>
      <c r="BA71" s="467" t="s">
        <v>240</v>
      </c>
    </row>
    <row r="72" spans="1:53" ht="15" customHeight="1">
      <c r="A72" s="59"/>
      <c r="B72" s="727" t="s">
        <v>241</v>
      </c>
      <c r="C72" s="728"/>
      <c r="D72" s="728"/>
      <c r="E72" s="821"/>
      <c r="F72" s="822"/>
      <c r="G72" s="838" t="s">
        <v>242</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0"/>
      <c r="AM72" s="879" t="str">
        <f>IF(AI65="該当", "！この区分（４項目）から２つ以上の取組が選択されていません。",  "！この区分（４項目）から１つ以上の取組が選択されていません。")</f>
        <v>！この区分（４項目）から２つ以上の取組が選択されていません。</v>
      </c>
      <c r="AN72" s="880"/>
      <c r="AO72" s="880"/>
      <c r="AP72" s="880"/>
      <c r="AQ72" s="880"/>
      <c r="AR72" s="880"/>
      <c r="AS72" s="880"/>
      <c r="AT72" s="880"/>
      <c r="AU72" s="880"/>
      <c r="AV72" s="880"/>
      <c r="AW72" s="880"/>
      <c r="AX72" s="881"/>
      <c r="AY72" s="60"/>
      <c r="AZ72" s="29"/>
      <c r="BA72" s="843">
        <f>COUNTIF(E72:F75, "✓")+COUNTIF(E72:F75, "誓約")</f>
        <v>0</v>
      </c>
    </row>
    <row r="73" spans="1:53" ht="15" customHeight="1" thickBot="1">
      <c r="A73" s="59"/>
      <c r="B73" s="869"/>
      <c r="C73" s="870"/>
      <c r="D73" s="870"/>
      <c r="E73" s="823"/>
      <c r="F73" s="824"/>
      <c r="G73" s="840" t="s">
        <v>243</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64"/>
      <c r="AL73" s="60"/>
      <c r="AM73" s="882"/>
      <c r="AN73" s="883"/>
      <c r="AO73" s="883"/>
      <c r="AP73" s="883"/>
      <c r="AQ73" s="883"/>
      <c r="AR73" s="883"/>
      <c r="AS73" s="883"/>
      <c r="AT73" s="883"/>
      <c r="AU73" s="883"/>
      <c r="AV73" s="883"/>
      <c r="AW73" s="883"/>
      <c r="AX73" s="884"/>
      <c r="AY73" s="462"/>
      <c r="AZ73" s="468"/>
      <c r="BA73" s="843"/>
    </row>
    <row r="74" spans="1:53" ht="15" customHeight="1">
      <c r="A74" s="59"/>
      <c r="B74" s="869"/>
      <c r="C74" s="870"/>
      <c r="D74" s="870"/>
      <c r="E74" s="823"/>
      <c r="F74" s="824"/>
      <c r="G74" s="841" t="s">
        <v>244</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0"/>
      <c r="AM74" s="462"/>
      <c r="AN74" s="462"/>
      <c r="AO74" s="462"/>
      <c r="AP74" s="462"/>
      <c r="AQ74" s="462"/>
      <c r="AR74" s="462"/>
      <c r="AS74" s="462"/>
      <c r="AT74" s="462"/>
      <c r="AU74" s="462"/>
      <c r="AV74" s="462"/>
      <c r="AW74" s="462"/>
      <c r="AX74" s="462"/>
      <c r="AY74" s="462"/>
      <c r="AZ74" s="468"/>
      <c r="BA74" s="843"/>
    </row>
    <row r="75" spans="1:53" ht="15" customHeight="1" thickBot="1">
      <c r="A75" s="59"/>
      <c r="B75" s="871"/>
      <c r="C75" s="872"/>
      <c r="D75" s="872"/>
      <c r="E75" s="1051"/>
      <c r="F75" s="1052"/>
      <c r="G75" s="999" t="s">
        <v>245</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65"/>
      <c r="AL75" s="60"/>
      <c r="AM75" s="469"/>
      <c r="AN75" s="469"/>
      <c r="AO75" s="469"/>
      <c r="AP75" s="469"/>
      <c r="AQ75" s="469"/>
      <c r="AR75" s="469"/>
      <c r="AS75" s="469"/>
      <c r="AT75" s="469"/>
      <c r="AU75" s="469"/>
      <c r="AV75" s="469"/>
      <c r="AW75" s="469"/>
      <c r="AX75" s="469"/>
      <c r="AY75" s="60"/>
      <c r="AZ75" s="29"/>
      <c r="BA75" s="843"/>
    </row>
    <row r="76" spans="1:53" ht="39.6" customHeight="1">
      <c r="A76" s="59"/>
      <c r="B76" s="727" t="s">
        <v>2535</v>
      </c>
      <c r="C76" s="728"/>
      <c r="D76" s="728"/>
      <c r="E76" s="821"/>
      <c r="F76" s="822"/>
      <c r="G76" s="838" t="s">
        <v>246</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0"/>
      <c r="AM76" s="879" t="str">
        <f>IF(AI65="該当", "！この区分（４項目）から２つ以上の取組が選択されていません。",  "！この区分（４項目）から１つ以上の取組が選択されていません。")</f>
        <v>！この区分（４項目）から２つ以上の取組が選択されていません。</v>
      </c>
      <c r="AN76" s="880"/>
      <c r="AO76" s="880"/>
      <c r="AP76" s="880"/>
      <c r="AQ76" s="880"/>
      <c r="AR76" s="880"/>
      <c r="AS76" s="880"/>
      <c r="AT76" s="880"/>
      <c r="AU76" s="880"/>
      <c r="AV76" s="880"/>
      <c r="AW76" s="880"/>
      <c r="AX76" s="881"/>
      <c r="AY76" s="60"/>
      <c r="AZ76" s="29"/>
      <c r="BA76" s="843">
        <f>COUNTIF(E76:F79, "✓")+COUNTIF(E76:F79, "誓約")</f>
        <v>0</v>
      </c>
    </row>
    <row r="77" spans="1:53" ht="15" customHeight="1" thickBot="1">
      <c r="A77" s="59"/>
      <c r="B77" s="869"/>
      <c r="C77" s="870"/>
      <c r="D77" s="870"/>
      <c r="E77" s="823"/>
      <c r="F77" s="824"/>
      <c r="G77" s="840" t="s">
        <v>247</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66"/>
      <c r="AL77" s="60"/>
      <c r="AM77" s="882"/>
      <c r="AN77" s="883"/>
      <c r="AO77" s="883"/>
      <c r="AP77" s="883"/>
      <c r="AQ77" s="883"/>
      <c r="AR77" s="883"/>
      <c r="AS77" s="883"/>
      <c r="AT77" s="883"/>
      <c r="AU77" s="883"/>
      <c r="AV77" s="883"/>
      <c r="AW77" s="883"/>
      <c r="AX77" s="884"/>
      <c r="AY77" s="462"/>
      <c r="AZ77" s="468"/>
      <c r="BA77" s="843"/>
    </row>
    <row r="78" spans="1:53" ht="15" customHeight="1">
      <c r="A78" s="59"/>
      <c r="B78" s="869"/>
      <c r="C78" s="870"/>
      <c r="D78" s="870"/>
      <c r="E78" s="823"/>
      <c r="F78" s="824"/>
      <c r="G78" s="1056" t="s">
        <v>248</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0"/>
      <c r="AM78" s="470"/>
      <c r="AN78" s="462"/>
      <c r="AO78" s="462"/>
      <c r="AP78" s="462"/>
      <c r="AQ78" s="462"/>
      <c r="AR78" s="462"/>
      <c r="AS78" s="462"/>
      <c r="AT78" s="462"/>
      <c r="AU78" s="462"/>
      <c r="AV78" s="462"/>
      <c r="AW78" s="462"/>
      <c r="AX78" s="462"/>
      <c r="AY78" s="462"/>
      <c r="AZ78" s="468"/>
      <c r="BA78" s="843"/>
    </row>
    <row r="79" spans="1:53" ht="15" customHeight="1" thickBot="1">
      <c r="A79" s="59"/>
      <c r="B79" s="871"/>
      <c r="C79" s="872"/>
      <c r="D79" s="872"/>
      <c r="E79" s="819"/>
      <c r="F79" s="820"/>
      <c r="G79" s="897" t="s">
        <v>249</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0"/>
      <c r="AM79" s="469"/>
      <c r="AN79" s="469"/>
      <c r="AO79" s="469"/>
      <c r="AP79" s="469"/>
      <c r="AQ79" s="469"/>
      <c r="AR79" s="469"/>
      <c r="AS79" s="469"/>
      <c r="AT79" s="469"/>
      <c r="AU79" s="469"/>
      <c r="AV79" s="469"/>
      <c r="AW79" s="469"/>
      <c r="AX79" s="469"/>
      <c r="AY79" s="60"/>
      <c r="AZ79" s="29"/>
      <c r="BA79" s="843"/>
    </row>
    <row r="80" spans="1:53" ht="15" customHeight="1">
      <c r="A80" s="59"/>
      <c r="B80" s="727" t="s">
        <v>250</v>
      </c>
      <c r="C80" s="728"/>
      <c r="D80" s="728"/>
      <c r="E80" s="821"/>
      <c r="F80" s="822"/>
      <c r="G80" s="899" t="s">
        <v>251</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66"/>
      <c r="AL80" s="60"/>
      <c r="AM80" s="879" t="str">
        <f>IF(AI65="該当", "！この区分（４項目）から２つ以上の取組が選択されていません。",  "！この区分（４項目）から１つ以上の取組が選択されていません。")</f>
        <v>！この区分（４項目）から２つ以上の取組が選択されていません。</v>
      </c>
      <c r="AN80" s="880"/>
      <c r="AO80" s="880"/>
      <c r="AP80" s="880"/>
      <c r="AQ80" s="880"/>
      <c r="AR80" s="880"/>
      <c r="AS80" s="880"/>
      <c r="AT80" s="880"/>
      <c r="AU80" s="880"/>
      <c r="AV80" s="880"/>
      <c r="AW80" s="880"/>
      <c r="AX80" s="881"/>
      <c r="AY80" s="60"/>
      <c r="AZ80" s="29"/>
      <c r="BA80" s="843">
        <f>COUNTIF(E80:F83, "✓")+COUNTIF(E80:F83, "誓約")</f>
        <v>0</v>
      </c>
    </row>
    <row r="81" spans="1:53" ht="28.2" customHeight="1" thickBot="1">
      <c r="A81" s="59"/>
      <c r="B81" s="869"/>
      <c r="C81" s="870"/>
      <c r="D81" s="870"/>
      <c r="E81" s="823"/>
      <c r="F81" s="824"/>
      <c r="G81" s="841" t="s">
        <v>252</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0"/>
      <c r="AM81" s="882"/>
      <c r="AN81" s="883"/>
      <c r="AO81" s="883"/>
      <c r="AP81" s="883"/>
      <c r="AQ81" s="883"/>
      <c r="AR81" s="883"/>
      <c r="AS81" s="883"/>
      <c r="AT81" s="883"/>
      <c r="AU81" s="883"/>
      <c r="AV81" s="883"/>
      <c r="AW81" s="883"/>
      <c r="AX81" s="884"/>
      <c r="AY81" s="462"/>
      <c r="AZ81" s="468"/>
      <c r="BA81" s="843"/>
    </row>
    <row r="82" spans="1:53" ht="28.2" customHeight="1">
      <c r="A82" s="59"/>
      <c r="B82" s="869"/>
      <c r="C82" s="870"/>
      <c r="D82" s="870"/>
      <c r="E82" s="823"/>
      <c r="F82" s="824"/>
      <c r="G82" s="841" t="s">
        <v>253</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0"/>
      <c r="AM82" s="462"/>
      <c r="AN82" s="462"/>
      <c r="AO82" s="462"/>
      <c r="AP82" s="462"/>
      <c r="AQ82" s="462"/>
      <c r="AR82" s="462"/>
      <c r="AS82" s="462"/>
      <c r="AT82" s="462"/>
      <c r="AU82" s="462"/>
      <c r="AV82" s="462"/>
      <c r="AW82" s="462"/>
      <c r="AX82" s="462"/>
      <c r="AY82" s="462"/>
      <c r="AZ82" s="468"/>
      <c r="BA82" s="843"/>
    </row>
    <row r="83" spans="1:53" ht="15" customHeight="1" thickBot="1">
      <c r="A83" s="59"/>
      <c r="B83" s="871"/>
      <c r="C83" s="872"/>
      <c r="D83" s="872"/>
      <c r="E83" s="823"/>
      <c r="F83" s="824"/>
      <c r="G83" s="900" t="s">
        <v>254</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0"/>
      <c r="AM83" s="469"/>
      <c r="AN83" s="469"/>
      <c r="AO83" s="469"/>
      <c r="AP83" s="469"/>
      <c r="AQ83" s="469"/>
      <c r="AR83" s="469"/>
      <c r="AS83" s="469"/>
      <c r="AT83" s="469"/>
      <c r="AU83" s="469"/>
      <c r="AV83" s="469"/>
      <c r="AW83" s="469"/>
      <c r="AX83" s="469"/>
      <c r="AY83" s="60"/>
      <c r="AZ83" s="29"/>
      <c r="BA83" s="843"/>
    </row>
    <row r="84" spans="1:53" ht="15" customHeight="1">
      <c r="A84" s="59"/>
      <c r="B84" s="727" t="s">
        <v>255</v>
      </c>
      <c r="C84" s="728"/>
      <c r="D84" s="728"/>
      <c r="E84" s="821"/>
      <c r="F84" s="822"/>
      <c r="G84" s="838" t="s">
        <v>256</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0"/>
      <c r="AM84" s="1043" t="str">
        <f>IF(AI65="該当", "！この区分（４項目）から２つ以上の取組が選択されていません。",  "！この区分（４項目）から１つ以上の取組が選択されていません。")</f>
        <v>！この区分（４項目）から２つ以上の取組が選択されていません。</v>
      </c>
      <c r="AN84" s="880"/>
      <c r="AO84" s="880"/>
      <c r="AP84" s="880"/>
      <c r="AQ84" s="880"/>
      <c r="AR84" s="880"/>
      <c r="AS84" s="880"/>
      <c r="AT84" s="880"/>
      <c r="AU84" s="880"/>
      <c r="AV84" s="880"/>
      <c r="AW84" s="880"/>
      <c r="AX84" s="881"/>
      <c r="AY84" s="60"/>
      <c r="AZ84" s="29"/>
      <c r="BA84" s="843">
        <f>COUNTIF(E84:F87, "✓")+COUNTIF(E84:F87, "誓約")</f>
        <v>0</v>
      </c>
    </row>
    <row r="85" spans="1:53" ht="15" customHeight="1" thickBot="1">
      <c r="A85" s="59"/>
      <c r="B85" s="869"/>
      <c r="C85" s="870"/>
      <c r="D85" s="870"/>
      <c r="E85" s="823"/>
      <c r="F85" s="824"/>
      <c r="G85" s="841" t="s">
        <v>257</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59"/>
      <c r="AM85" s="882"/>
      <c r="AN85" s="883"/>
      <c r="AO85" s="883"/>
      <c r="AP85" s="883"/>
      <c r="AQ85" s="883"/>
      <c r="AR85" s="883"/>
      <c r="AS85" s="883"/>
      <c r="AT85" s="883"/>
      <c r="AU85" s="883"/>
      <c r="AV85" s="883"/>
      <c r="AW85" s="883"/>
      <c r="AX85" s="884"/>
      <c r="AY85" s="462"/>
      <c r="AZ85" s="468"/>
      <c r="BA85" s="843"/>
    </row>
    <row r="86" spans="1:53" ht="28.2" customHeight="1">
      <c r="A86" s="59"/>
      <c r="B86" s="869"/>
      <c r="C86" s="870"/>
      <c r="D86" s="870"/>
      <c r="E86" s="823"/>
      <c r="F86" s="824"/>
      <c r="G86" s="841" t="s">
        <v>258</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0"/>
      <c r="AM86" s="462"/>
      <c r="AN86" s="462"/>
      <c r="AO86" s="462"/>
      <c r="AP86" s="462"/>
      <c r="AQ86" s="462"/>
      <c r="AR86" s="462"/>
      <c r="AS86" s="462"/>
      <c r="AT86" s="462"/>
      <c r="AU86" s="462"/>
      <c r="AV86" s="462"/>
      <c r="AW86" s="462"/>
      <c r="AX86" s="462"/>
      <c r="AY86" s="462"/>
      <c r="AZ86" s="468"/>
      <c r="BA86" s="843"/>
    </row>
    <row r="87" spans="1:53" ht="15" customHeight="1" thickBot="1">
      <c r="A87" s="59"/>
      <c r="B87" s="871"/>
      <c r="C87" s="872"/>
      <c r="D87" s="872"/>
      <c r="E87" s="823"/>
      <c r="F87" s="824"/>
      <c r="G87" s="900" t="s">
        <v>259</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0"/>
      <c r="AM87" s="462"/>
      <c r="AN87" s="462"/>
      <c r="AO87" s="462"/>
      <c r="AP87" s="462"/>
      <c r="AQ87" s="462"/>
      <c r="AR87" s="462"/>
      <c r="AS87" s="462"/>
      <c r="AT87" s="462"/>
      <c r="AU87" s="462"/>
      <c r="AV87" s="462"/>
      <c r="AW87" s="462"/>
      <c r="AX87" s="462"/>
      <c r="AY87" s="60"/>
      <c r="AZ87" s="29"/>
      <c r="BA87" s="843"/>
    </row>
    <row r="88" spans="1:53" ht="28.2" customHeight="1" thickBot="1">
      <c r="A88" s="59"/>
      <c r="B88" s="727" t="s">
        <v>260</v>
      </c>
      <c r="C88" s="728"/>
      <c r="D88" s="728"/>
      <c r="E88" s="821"/>
      <c r="F88" s="822"/>
      <c r="G88" s="1041" t="s">
        <v>261</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0"/>
      <c r="AM88" s="935" t="str">
        <f>IF(AND(AI65="該当", AND(E88="",E89= "")), "！⑰又は⑱の取組は必須です。",  "")</f>
        <v>！⑰又は⑱の取組は必須です。</v>
      </c>
      <c r="AN88" s="936"/>
      <c r="AO88" s="936"/>
      <c r="AP88" s="936"/>
      <c r="AQ88" s="936"/>
      <c r="AR88" s="936"/>
      <c r="AS88" s="936"/>
      <c r="AT88" s="936"/>
      <c r="AU88" s="936"/>
      <c r="AV88" s="936"/>
      <c r="AW88" s="936"/>
      <c r="AX88" s="937"/>
      <c r="AY88" s="60"/>
      <c r="AZ88" s="29"/>
      <c r="BA88" s="980">
        <f>COUNTIF(E88:F95, "✓")+COUNTIF(E88:F95, "誓約")</f>
        <v>0</v>
      </c>
    </row>
    <row r="89" spans="1:53" ht="15" customHeight="1" thickBot="1">
      <c r="A89" s="59"/>
      <c r="B89" s="869"/>
      <c r="C89" s="870"/>
      <c r="D89" s="870"/>
      <c r="E89" s="823"/>
      <c r="F89" s="824"/>
      <c r="G89" s="841" t="s">
        <v>262</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64"/>
      <c r="AL89" s="60"/>
      <c r="AM89" s="462"/>
      <c r="AN89" s="462"/>
      <c r="AO89" s="462"/>
      <c r="AP89" s="462"/>
      <c r="AQ89" s="462"/>
      <c r="AR89" s="462"/>
      <c r="AS89" s="462"/>
      <c r="AT89" s="462"/>
      <c r="AU89" s="462"/>
      <c r="AV89" s="462"/>
      <c r="AW89" s="462"/>
      <c r="AX89" s="462"/>
      <c r="AY89" s="462"/>
      <c r="AZ89" s="468"/>
      <c r="BA89" s="981"/>
    </row>
    <row r="90" spans="1:53" ht="15" customHeight="1">
      <c r="A90" s="59"/>
      <c r="B90" s="869"/>
      <c r="C90" s="870"/>
      <c r="D90" s="870"/>
      <c r="E90" s="823"/>
      <c r="F90" s="824"/>
      <c r="G90" s="841" t="s">
        <v>263</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0"/>
      <c r="AM90" s="879" t="str">
        <f>IF(AI65="該当", "！この区分（８項目）から３つ以上の取組が選択されていません。",  "！この区分（４項目）から２つ以上の取組が選択されていません。")</f>
        <v>！この区分（８項目）から３つ以上の取組が選択されていません。</v>
      </c>
      <c r="AN90" s="880"/>
      <c r="AO90" s="880"/>
      <c r="AP90" s="880"/>
      <c r="AQ90" s="880"/>
      <c r="AR90" s="880"/>
      <c r="AS90" s="880"/>
      <c r="AT90" s="880"/>
      <c r="AU90" s="880"/>
      <c r="AV90" s="880"/>
      <c r="AW90" s="880"/>
      <c r="AX90" s="881"/>
      <c r="AY90" s="462"/>
      <c r="AZ90" s="468"/>
      <c r="BA90" s="981"/>
    </row>
    <row r="91" spans="1:53" ht="15" customHeight="1" thickBot="1">
      <c r="A91" s="59"/>
      <c r="B91" s="869"/>
      <c r="C91" s="870"/>
      <c r="D91" s="870"/>
      <c r="E91" s="823"/>
      <c r="F91" s="824"/>
      <c r="G91" s="897" t="s">
        <v>264</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65"/>
      <c r="AL91" s="60"/>
      <c r="AM91" s="882"/>
      <c r="AN91" s="883"/>
      <c r="AO91" s="883"/>
      <c r="AP91" s="883"/>
      <c r="AQ91" s="883"/>
      <c r="AR91" s="883"/>
      <c r="AS91" s="883"/>
      <c r="AT91" s="883"/>
      <c r="AU91" s="883"/>
      <c r="AV91" s="883"/>
      <c r="AW91" s="883"/>
      <c r="AX91" s="884"/>
      <c r="AY91" s="60"/>
      <c r="AZ91" s="29"/>
      <c r="BA91" s="981"/>
    </row>
    <row r="92" spans="1:53" ht="15" customHeight="1">
      <c r="A92" s="59"/>
      <c r="B92" s="869"/>
      <c r="C92" s="870"/>
      <c r="D92" s="870"/>
      <c r="E92" s="823"/>
      <c r="F92" s="824"/>
      <c r="G92" s="897" t="s">
        <v>265</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0"/>
      <c r="AM92" s="462"/>
      <c r="AN92" s="462"/>
      <c r="AO92" s="462"/>
      <c r="AP92" s="462"/>
      <c r="AQ92" s="462"/>
      <c r="AR92" s="462"/>
      <c r="AS92" s="462"/>
      <c r="AT92" s="462"/>
      <c r="AU92" s="462"/>
      <c r="AV92" s="462"/>
      <c r="AW92" s="462"/>
      <c r="AX92" s="462"/>
      <c r="AY92" s="462"/>
      <c r="AZ92" s="468"/>
      <c r="BA92" s="981"/>
    </row>
    <row r="93" spans="1:53" ht="28.2" customHeight="1">
      <c r="A93" s="59"/>
      <c r="B93" s="869"/>
      <c r="C93" s="870"/>
      <c r="D93" s="870"/>
      <c r="E93" s="823"/>
      <c r="F93" s="824"/>
      <c r="G93" s="841" t="s">
        <v>266</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0"/>
      <c r="AM93" s="462"/>
      <c r="AN93" s="462"/>
      <c r="AO93" s="462"/>
      <c r="AP93" s="462"/>
      <c r="AQ93" s="462"/>
      <c r="AR93" s="462"/>
      <c r="AS93" s="462"/>
      <c r="AT93" s="462"/>
      <c r="AU93" s="462"/>
      <c r="AV93" s="462"/>
      <c r="AW93" s="462"/>
      <c r="AX93" s="462"/>
      <c r="AY93" s="462"/>
      <c r="AZ93" s="468"/>
      <c r="BA93" s="981"/>
    </row>
    <row r="94" spans="1:53" ht="28.2" customHeight="1">
      <c r="A94" s="59"/>
      <c r="B94" s="869"/>
      <c r="C94" s="870"/>
      <c r="D94" s="870"/>
      <c r="E94" s="823"/>
      <c r="F94" s="824"/>
      <c r="G94" s="841" t="s">
        <v>267</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0"/>
      <c r="AM94" s="462"/>
      <c r="AN94" s="462"/>
      <c r="AO94" s="462"/>
      <c r="AP94" s="462"/>
      <c r="AQ94" s="462"/>
      <c r="AR94" s="462"/>
      <c r="AS94" s="462"/>
      <c r="AT94" s="462"/>
      <c r="AU94" s="462"/>
      <c r="AV94" s="462"/>
      <c r="AW94" s="462"/>
      <c r="AX94" s="462"/>
      <c r="AY94" s="60"/>
      <c r="AZ94" s="29"/>
      <c r="BA94" s="981"/>
    </row>
    <row r="95" spans="1:53" ht="28.2" customHeight="1" thickBot="1">
      <c r="A95" s="59"/>
      <c r="B95" s="871"/>
      <c r="C95" s="872"/>
      <c r="D95" s="872"/>
      <c r="E95" s="823"/>
      <c r="F95" s="824"/>
      <c r="G95" s="897" t="s">
        <v>268</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0"/>
      <c r="AM95" s="462"/>
      <c r="AN95" s="462"/>
      <c r="AO95" s="462"/>
      <c r="AP95" s="462"/>
      <c r="AQ95" s="462"/>
      <c r="AR95" s="462"/>
      <c r="AS95" s="462"/>
      <c r="AT95" s="462"/>
      <c r="AU95" s="462"/>
      <c r="AV95" s="462"/>
      <c r="AW95" s="462"/>
      <c r="AX95" s="462"/>
      <c r="AY95" s="60"/>
      <c r="AZ95" s="29"/>
      <c r="BA95" s="982"/>
    </row>
    <row r="96" spans="1:53" ht="15" customHeight="1">
      <c r="A96" s="59"/>
      <c r="B96" s="727" t="s">
        <v>269</v>
      </c>
      <c r="C96" s="728"/>
      <c r="D96" s="728"/>
      <c r="E96" s="821"/>
      <c r="F96" s="822"/>
      <c r="G96" s="838" t="s">
        <v>270</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71"/>
      <c r="AM96" s="879" t="str">
        <f>IF(AI65="該当", "！この区分（４項目）から２つ以上の取組が選択されていません。",  "！この区分（４項目）から１つ以上の取組が選択されていません。")</f>
        <v>！この区分（４項目）から２つ以上の取組が選択されていません。</v>
      </c>
      <c r="AN96" s="880"/>
      <c r="AO96" s="880"/>
      <c r="AP96" s="880"/>
      <c r="AQ96" s="880"/>
      <c r="AR96" s="880"/>
      <c r="AS96" s="880"/>
      <c r="AT96" s="880"/>
      <c r="AU96" s="880"/>
      <c r="AV96" s="880"/>
      <c r="AW96" s="880"/>
      <c r="AX96" s="881"/>
      <c r="AY96" s="60"/>
      <c r="AZ96" s="29"/>
      <c r="BA96" s="843">
        <f>COUNTIF(E96:F99, "✓")+COUNTIF(E96:F99, "誓約")</f>
        <v>0</v>
      </c>
    </row>
    <row r="97" spans="1:55" ht="15" customHeight="1" thickBot="1">
      <c r="A97" s="59"/>
      <c r="B97" s="869"/>
      <c r="C97" s="870"/>
      <c r="D97" s="870"/>
      <c r="E97" s="823"/>
      <c r="F97" s="824"/>
      <c r="G97" s="841" t="s">
        <v>271</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64"/>
      <c r="AL97" s="60"/>
      <c r="AM97" s="882"/>
      <c r="AN97" s="883"/>
      <c r="AO97" s="883"/>
      <c r="AP97" s="883"/>
      <c r="AQ97" s="883"/>
      <c r="AR97" s="883"/>
      <c r="AS97" s="883"/>
      <c r="AT97" s="883"/>
      <c r="AU97" s="883"/>
      <c r="AV97" s="883"/>
      <c r="AW97" s="883"/>
      <c r="AX97" s="884"/>
      <c r="AY97" s="462"/>
      <c r="AZ97" s="468"/>
      <c r="BA97" s="843"/>
    </row>
    <row r="98" spans="1:55" ht="15" customHeight="1">
      <c r="A98" s="59"/>
      <c r="B98" s="869"/>
      <c r="C98" s="870"/>
      <c r="D98" s="870"/>
      <c r="E98" s="823"/>
      <c r="F98" s="824"/>
      <c r="G98" s="841" t="s">
        <v>272</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64"/>
      <c r="AL98" s="60"/>
      <c r="AM98" s="139"/>
      <c r="AN98" s="139"/>
      <c r="AO98" s="139"/>
      <c r="AP98" s="139"/>
      <c r="AQ98" s="139"/>
      <c r="AR98" s="139"/>
      <c r="AS98" s="139"/>
      <c r="AT98" s="139"/>
      <c r="AU98" s="139"/>
      <c r="AV98" s="139"/>
      <c r="AW98" s="139"/>
      <c r="AX98" s="139"/>
      <c r="AY98" s="462"/>
      <c r="AZ98" s="468"/>
      <c r="BA98" s="843"/>
    </row>
    <row r="99" spans="1:55" ht="15" customHeight="1" thickBot="1">
      <c r="A99" s="59"/>
      <c r="B99" s="871"/>
      <c r="C99" s="872"/>
      <c r="D99" s="872"/>
      <c r="E99" s="1030"/>
      <c r="F99" s="1031"/>
      <c r="G99" s="900" t="s">
        <v>273</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67"/>
      <c r="AL99" s="59"/>
      <c r="AM99" s="139"/>
      <c r="AN99" s="139"/>
      <c r="AO99" s="139"/>
      <c r="AP99" s="139"/>
      <c r="AQ99" s="139"/>
      <c r="AR99" s="139"/>
      <c r="AS99" s="139"/>
      <c r="AT99" s="139"/>
      <c r="AU99" s="139"/>
      <c r="AV99" s="139"/>
      <c r="AW99" s="139"/>
      <c r="AX99" s="139"/>
      <c r="AY99" s="59"/>
      <c r="BA99" s="843"/>
    </row>
    <row r="100" spans="1:55" ht="6" customHeight="1">
      <c r="A100" s="59"/>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59"/>
      <c r="AM100" s="472"/>
      <c r="AN100" s="60"/>
      <c r="AO100" s="471"/>
      <c r="AP100" s="471"/>
      <c r="AQ100" s="471"/>
      <c r="AR100" s="471"/>
      <c r="AS100" s="471"/>
      <c r="AT100" s="471"/>
      <c r="AU100" s="471"/>
      <c r="AV100" s="471"/>
      <c r="AW100" s="471"/>
      <c r="AX100" s="471"/>
      <c r="AY100" s="471"/>
      <c r="AZ100" s="473"/>
    </row>
    <row r="101" spans="1:55" s="29" customFormat="1" ht="17.399999999999999" customHeight="1" thickBot="1">
      <c r="A101" s="471"/>
      <c r="B101" s="887" t="s">
        <v>274</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0"/>
      <c r="AM101" s="471"/>
      <c r="AN101" s="474"/>
      <c r="AO101" s="475"/>
      <c r="AP101" s="475"/>
      <c r="AQ101" s="475"/>
      <c r="AR101" s="475"/>
      <c r="AS101" s="475"/>
      <c r="AT101" s="475"/>
      <c r="AU101" s="475"/>
      <c r="AV101" s="475"/>
      <c r="AW101" s="475"/>
      <c r="AX101" s="475"/>
      <c r="AY101" s="475"/>
      <c r="AZ101" s="476"/>
      <c r="BB101" s="473"/>
      <c r="BC101" s="473"/>
    </row>
    <row r="102" spans="1:55" s="476" customFormat="1" ht="18.600000000000001" customHeight="1" thickBot="1">
      <c r="A102" s="471"/>
      <c r="B102" s="477" t="s">
        <v>196</v>
      </c>
      <c r="C102" s="901" t="s">
        <v>275</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78" t="str">
        <f>IF(OR(AK62="○", BA49=0),"",IF(OR(BA102=TRUE,BA103=TRUE),"○","×"))</f>
        <v/>
      </c>
      <c r="AL102" s="59"/>
      <c r="AM102" s="879" t="s">
        <v>276</v>
      </c>
      <c r="AN102" s="880"/>
      <c r="AO102" s="880"/>
      <c r="AP102" s="880"/>
      <c r="AQ102" s="880"/>
      <c r="AR102" s="880"/>
      <c r="AS102" s="880"/>
      <c r="AT102" s="880"/>
      <c r="AU102" s="880"/>
      <c r="AV102" s="880"/>
      <c r="AW102" s="880"/>
      <c r="AX102" s="881"/>
      <c r="AY102" s="473"/>
      <c r="BA102" s="609" t="b">
        <v>0</v>
      </c>
    </row>
    <row r="103" spans="1:55" s="473" customFormat="1" ht="30.6" customHeight="1" thickBot="1">
      <c r="A103" s="471"/>
      <c r="B103" s="889" t="s">
        <v>277</v>
      </c>
      <c r="C103" s="890"/>
      <c r="D103" s="890"/>
      <c r="E103" s="891" t="b">
        <v>0</v>
      </c>
      <c r="F103" s="569"/>
      <c r="G103" s="895" t="s">
        <v>278</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0"/>
      <c r="AM103" s="882"/>
      <c r="AN103" s="883"/>
      <c r="AO103" s="883"/>
      <c r="AP103" s="883"/>
      <c r="AQ103" s="883"/>
      <c r="AR103" s="883"/>
      <c r="AS103" s="883"/>
      <c r="AT103" s="883"/>
      <c r="AU103" s="883"/>
      <c r="AV103" s="883"/>
      <c r="AW103" s="883"/>
      <c r="AX103" s="884"/>
      <c r="BA103" s="609" t="b">
        <v>0</v>
      </c>
    </row>
    <row r="104" spans="1:55" s="473" customFormat="1" ht="22.95" customHeight="1" thickBot="1">
      <c r="A104" s="471"/>
      <c r="B104" s="892"/>
      <c r="C104" s="893"/>
      <c r="D104" s="893"/>
      <c r="E104" s="894" t="b">
        <v>0</v>
      </c>
      <c r="F104" s="568"/>
      <c r="G104" s="885" t="s">
        <v>279</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59"/>
      <c r="AM104" s="471"/>
      <c r="AN104" s="471"/>
      <c r="AO104" s="471"/>
      <c r="AP104" s="471"/>
      <c r="AQ104" s="471"/>
      <c r="AR104" s="471"/>
      <c r="AS104" s="471"/>
      <c r="AT104" s="471"/>
      <c r="AU104" s="471"/>
      <c r="AV104" s="471"/>
      <c r="AW104" s="471"/>
      <c r="AX104" s="471"/>
      <c r="AY104" s="471"/>
      <c r="BA104" s="610"/>
    </row>
    <row r="105" spans="1:55" s="473" customFormat="1" ht="6" customHeight="1">
      <c r="A105" s="60"/>
      <c r="B105" s="3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1"/>
      <c r="AN105" s="59"/>
      <c r="AO105" s="60"/>
      <c r="AP105" s="60"/>
      <c r="AQ105" s="60"/>
      <c r="AR105" s="60"/>
      <c r="AS105" s="60"/>
      <c r="AT105" s="60"/>
      <c r="AU105" s="60"/>
      <c r="AV105" s="60"/>
      <c r="AW105" s="60"/>
      <c r="AX105" s="60"/>
      <c r="AY105" s="60"/>
      <c r="AZ105" s="29"/>
      <c r="BA105" s="610"/>
    </row>
    <row r="106" spans="1:55" s="29" customFormat="1" ht="19.2" customHeight="1">
      <c r="A106" s="59"/>
      <c r="B106" s="62" t="s">
        <v>280</v>
      </c>
      <c r="C106" s="62"/>
      <c r="D106" s="62"/>
      <c r="E106" s="62"/>
      <c r="F106" s="62"/>
      <c r="G106" s="62"/>
      <c r="H106" s="62"/>
      <c r="I106" s="62"/>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59"/>
      <c r="AM106" s="60"/>
      <c r="AN106" s="59"/>
      <c r="AO106" s="59"/>
      <c r="AP106" s="59"/>
      <c r="AQ106" s="59"/>
      <c r="AR106" s="59"/>
      <c r="AS106" s="59"/>
      <c r="AT106" s="59"/>
      <c r="AU106" s="59"/>
      <c r="AV106" s="59"/>
      <c r="AW106" s="59"/>
      <c r="AX106" s="59"/>
      <c r="AY106" s="59"/>
      <c r="AZ106"/>
      <c r="BA106" s="611"/>
    </row>
    <row r="107" spans="1:55" ht="16.5" customHeight="1" thickBot="1">
      <c r="A107" s="60"/>
      <c r="B107" s="406"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2"/>
      <c r="AO107" s="462"/>
      <c r="AP107" s="462"/>
      <c r="AQ107" s="462"/>
      <c r="AR107" s="462"/>
      <c r="AS107" s="462"/>
      <c r="AT107" s="462"/>
      <c r="AU107" s="462"/>
      <c r="AV107" s="462"/>
      <c r="AW107" s="462"/>
      <c r="AX107" s="462"/>
      <c r="AY107" s="462"/>
      <c r="AZ107" s="29"/>
      <c r="BA107" s="28"/>
    </row>
    <row r="108" spans="1:55" s="29" customFormat="1" ht="39.6" customHeight="1" thickBot="1">
      <c r="A108" s="60"/>
      <c r="B108" s="1032" t="s">
        <v>282</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283</v>
      </c>
      <c r="AF108" s="1036"/>
      <c r="AG108" s="1036"/>
      <c r="AH108" s="1036"/>
      <c r="AI108" s="1036"/>
      <c r="AJ108" s="1037"/>
      <c r="AK108" s="395" t="str">
        <f>IF(H7="", "", IF(AND(BA109=TRUE,OR(Q18=0,BA110=TRUE),BA111=TRUE,BA112=TRUE, BA114=TRUE, BA113=TRUE,BA115=TRUE),"○","×"))</f>
        <v>○</v>
      </c>
      <c r="AL108" s="59"/>
      <c r="AM108" s="844" t="s">
        <v>284</v>
      </c>
      <c r="AN108" s="845"/>
      <c r="AO108" s="845"/>
      <c r="AP108" s="845"/>
      <c r="AQ108" s="845"/>
      <c r="AR108" s="845"/>
      <c r="AS108" s="845"/>
      <c r="AT108" s="845"/>
      <c r="AU108" s="845"/>
      <c r="AV108" s="845"/>
      <c r="AW108" s="845"/>
      <c r="AX108" s="845"/>
      <c r="AY108" s="846"/>
      <c r="BA108" s="612"/>
    </row>
    <row r="109" spans="1:55" s="29" customFormat="1" ht="30" customHeight="1">
      <c r="A109" s="596"/>
      <c r="B109" s="517"/>
      <c r="C109" s="1024" t="s">
        <v>285</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286</v>
      </c>
      <c r="AF109" s="861"/>
      <c r="AG109" s="861"/>
      <c r="AH109" s="861"/>
      <c r="AI109" s="861"/>
      <c r="AJ109" s="861"/>
      <c r="AK109" s="1038"/>
      <c r="AL109" s="59"/>
      <c r="AM109" s="60"/>
      <c r="AN109" s="139"/>
      <c r="AO109" s="139"/>
      <c r="AP109" s="139"/>
      <c r="AQ109" s="139"/>
      <c r="AR109" s="139"/>
      <c r="AS109" s="139"/>
      <c r="AT109" s="139"/>
      <c r="AU109" s="139"/>
      <c r="AV109" s="139"/>
      <c r="AW109" s="60"/>
      <c r="AX109" s="60"/>
      <c r="AY109" s="60"/>
      <c r="AZ109" s="455"/>
      <c r="BA109" s="613" t="b">
        <v>1</v>
      </c>
      <c r="BB109" s="479"/>
    </row>
    <row r="110" spans="1:55" s="29" customFormat="1" ht="37.200000000000003" customHeight="1">
      <c r="A110" s="60"/>
      <c r="B110" s="518"/>
      <c r="C110" s="1039" t="s">
        <v>287</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286</v>
      </c>
      <c r="AF110" s="861"/>
      <c r="AG110" s="861"/>
      <c r="AH110" s="861"/>
      <c r="AI110" s="861"/>
      <c r="AJ110" s="861"/>
      <c r="AK110" s="861"/>
      <c r="AL110" s="59"/>
      <c r="AM110" s="60"/>
      <c r="AN110" s="139"/>
      <c r="AO110" s="139"/>
      <c r="AP110" s="139"/>
      <c r="AQ110" s="139"/>
      <c r="AR110" s="139"/>
      <c r="AS110" s="139"/>
      <c r="AT110" s="139"/>
      <c r="AU110" s="139"/>
      <c r="AV110" s="139"/>
      <c r="AW110" s="60"/>
      <c r="AX110" s="60"/>
      <c r="AY110" s="60"/>
      <c r="BA110" s="609" t="b">
        <v>1</v>
      </c>
    </row>
    <row r="111" spans="1:55" s="29" customFormat="1" ht="36.6" customHeight="1">
      <c r="A111" s="60"/>
      <c r="B111" s="518"/>
      <c r="C111" s="1024" t="s">
        <v>288</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289</v>
      </c>
      <c r="AF111" s="861"/>
      <c r="AG111" s="861"/>
      <c r="AH111" s="861"/>
      <c r="AI111" s="861"/>
      <c r="AJ111" s="861"/>
      <c r="AK111" s="861"/>
      <c r="AL111" s="59"/>
      <c r="AM111" s="60"/>
      <c r="AN111" s="60"/>
      <c r="AO111" s="60"/>
      <c r="AP111" s="139"/>
      <c r="AQ111" s="60"/>
      <c r="AR111" s="60"/>
      <c r="AS111" s="60"/>
      <c r="AT111" s="60"/>
      <c r="AU111" s="60"/>
      <c r="AV111" s="60"/>
      <c r="AW111" s="60"/>
      <c r="AX111" s="60"/>
      <c r="AY111" s="60"/>
      <c r="BA111" s="609" t="b">
        <v>1</v>
      </c>
    </row>
    <row r="112" spans="1:55" s="29" customFormat="1" ht="28.95" customHeight="1">
      <c r="A112" s="60"/>
      <c r="B112" s="518"/>
      <c r="C112" s="1024" t="s">
        <v>290</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291</v>
      </c>
      <c r="AF112" s="1027"/>
      <c r="AG112" s="1027"/>
      <c r="AH112" s="1027"/>
      <c r="AI112" s="1027"/>
      <c r="AJ112" s="1027"/>
      <c r="AK112" s="1027"/>
      <c r="AL112" s="59"/>
      <c r="AM112" s="60"/>
      <c r="AN112" s="480"/>
      <c r="AO112" s="480"/>
      <c r="AP112" s="480"/>
      <c r="AQ112" s="60"/>
      <c r="AR112" s="60"/>
      <c r="AS112" s="60"/>
      <c r="AT112" s="60"/>
      <c r="AU112" s="60"/>
      <c r="AV112" s="60"/>
      <c r="AW112" s="60"/>
      <c r="AX112" s="60"/>
      <c r="AY112" s="60"/>
      <c r="BA112" s="609" t="b">
        <v>1</v>
      </c>
    </row>
    <row r="113" spans="1:55" s="29" customFormat="1" ht="22.2" customHeight="1">
      <c r="A113" s="60"/>
      <c r="B113" s="518"/>
      <c r="C113" s="1024" t="s">
        <v>292</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293</v>
      </c>
      <c r="AF113" s="861"/>
      <c r="AG113" s="861"/>
      <c r="AH113" s="861"/>
      <c r="AI113" s="861"/>
      <c r="AJ113" s="861"/>
      <c r="AK113" s="861"/>
      <c r="AL113" s="59"/>
      <c r="AM113" s="60"/>
      <c r="AN113" s="480"/>
      <c r="AO113" s="480"/>
      <c r="AP113" s="480"/>
      <c r="AQ113" s="60"/>
      <c r="AR113" s="60"/>
      <c r="AS113" s="60"/>
      <c r="AT113" s="60"/>
      <c r="AU113" s="60"/>
      <c r="AV113" s="60"/>
      <c r="AW113" s="60"/>
      <c r="AX113" s="60"/>
      <c r="AY113" s="60"/>
      <c r="BA113" s="609" t="b">
        <v>1</v>
      </c>
    </row>
    <row r="114" spans="1:55" s="29" customFormat="1" ht="22.2" customHeight="1">
      <c r="A114" s="60"/>
      <c r="B114" s="519"/>
      <c r="C114" s="1014" t="s">
        <v>294</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295</v>
      </c>
      <c r="AF114" s="1017"/>
      <c r="AG114" s="1017"/>
      <c r="AH114" s="1017"/>
      <c r="AI114" s="1017"/>
      <c r="AJ114" s="1017"/>
      <c r="AK114" s="1017"/>
      <c r="AL114" s="59"/>
      <c r="AM114" s="60"/>
      <c r="AN114" s="60"/>
      <c r="AO114" s="60"/>
      <c r="AP114" s="60"/>
      <c r="AQ114" s="60"/>
      <c r="AR114" s="60"/>
      <c r="AS114" s="60"/>
      <c r="AT114" s="60"/>
      <c r="AU114" s="60"/>
      <c r="AV114" s="60"/>
      <c r="AW114" s="60"/>
      <c r="AX114" s="60"/>
      <c r="AY114" s="60"/>
      <c r="BA114" s="609" t="b">
        <v>1</v>
      </c>
    </row>
    <row r="115" spans="1:55" s="29" customFormat="1" ht="25.5" customHeight="1" thickBot="1">
      <c r="A115" s="60"/>
      <c r="B115" s="520"/>
      <c r="C115" s="1024" t="s">
        <v>296</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291</v>
      </c>
      <c r="AF115" s="1027"/>
      <c r="AG115" s="1027"/>
      <c r="AH115" s="1027"/>
      <c r="AI115" s="1027"/>
      <c r="AJ115" s="1027"/>
      <c r="AK115" s="1027"/>
      <c r="AL115" s="59"/>
      <c r="AM115" s="60"/>
      <c r="AN115" s="60"/>
      <c r="AO115" s="60"/>
      <c r="AP115" s="60"/>
      <c r="AQ115" s="60"/>
      <c r="AR115" s="60"/>
      <c r="AS115" s="60"/>
      <c r="AT115" s="60"/>
      <c r="AU115" s="60"/>
      <c r="AV115" s="60"/>
      <c r="AW115" s="60"/>
      <c r="AX115" s="60"/>
      <c r="AY115" s="60"/>
      <c r="BA115" s="609" t="b">
        <v>1</v>
      </c>
    </row>
    <row r="116" spans="1:55" s="29" customFormat="1" ht="4.95"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1" t="s">
        <v>297</v>
      </c>
      <c r="C117" s="482" t="s">
        <v>298</v>
      </c>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02"/>
      <c r="AL117" s="59"/>
      <c r="AM117" s="60"/>
      <c r="AN117" s="60"/>
      <c r="AO117" s="60"/>
      <c r="AP117" s="60"/>
      <c r="AQ117" s="60"/>
      <c r="AR117" s="60"/>
      <c r="AS117" s="60"/>
      <c r="AT117" s="60"/>
      <c r="AU117" s="60"/>
      <c r="AV117" s="60"/>
      <c r="AW117" s="60"/>
      <c r="AX117" s="60"/>
      <c r="AY117" s="60"/>
    </row>
    <row r="118" spans="1:55" s="29" customFormat="1" ht="24.6" customHeight="1">
      <c r="A118" s="60"/>
      <c r="B118" s="481" t="s">
        <v>297</v>
      </c>
      <c r="C118" s="1028" t="s">
        <v>299</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59"/>
      <c r="AM118" s="60"/>
      <c r="AN118" s="60"/>
      <c r="AO118" s="60"/>
      <c r="AP118" s="60"/>
      <c r="AQ118" s="60"/>
      <c r="AR118" s="60"/>
      <c r="AS118" s="60"/>
      <c r="AT118" s="60"/>
      <c r="AU118" s="60"/>
      <c r="AV118" s="60"/>
      <c r="AW118" s="60"/>
      <c r="AX118" s="60"/>
      <c r="AY118" s="60"/>
    </row>
    <row r="119" spans="1:55" s="29" customFormat="1" ht="5.4" customHeight="1" thickBot="1">
      <c r="A119" s="60"/>
      <c r="B119" s="481"/>
      <c r="C119" s="483"/>
      <c r="D119" s="483"/>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59"/>
      <c r="AM119" s="60"/>
      <c r="AN119" s="60"/>
      <c r="AO119" s="60"/>
      <c r="AP119" s="60"/>
      <c r="AQ119" s="60"/>
      <c r="AR119" s="60"/>
      <c r="AS119" s="60"/>
      <c r="AT119" s="60"/>
      <c r="AU119" s="60"/>
      <c r="AV119" s="60"/>
      <c r="AW119" s="60"/>
      <c r="AX119" s="60"/>
      <c r="AY119" s="60"/>
    </row>
    <row r="120" spans="1:55" s="29" customFormat="1" ht="15.6" customHeight="1" thickBot="1">
      <c r="A120" s="60"/>
      <c r="B120" s="484"/>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78" t="str">
        <f>IF(H7="", "", IF(COUNTA(E124,H124,K124)=3,"○","×"))</f>
        <v>○</v>
      </c>
      <c r="AL120" s="59"/>
      <c r="AM120" s="60"/>
      <c r="AN120" s="60"/>
      <c r="AO120" s="60"/>
      <c r="AP120" s="60"/>
      <c r="AQ120" s="60"/>
      <c r="AR120" s="60"/>
      <c r="AS120" s="60"/>
      <c r="AT120" s="60"/>
      <c r="AU120" s="60"/>
      <c r="AV120" s="60"/>
      <c r="AW120" s="60"/>
      <c r="AX120" s="60"/>
      <c r="AY120" s="60"/>
    </row>
    <row r="121" spans="1:55" s="29" customFormat="1" ht="4.2" customHeight="1">
      <c r="A121" s="60"/>
      <c r="B121" s="486"/>
      <c r="C121" s="487"/>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8"/>
      <c r="AL121" s="59"/>
      <c r="AM121" s="60"/>
      <c r="AN121" s="60"/>
      <c r="AO121" s="60"/>
      <c r="AP121" s="60"/>
      <c r="AQ121" s="60"/>
      <c r="AR121" s="60"/>
      <c r="AS121" s="60"/>
      <c r="AT121" s="60"/>
      <c r="AU121" s="60"/>
      <c r="AV121" s="60"/>
      <c r="AW121" s="60"/>
      <c r="AX121" s="60"/>
      <c r="AY121" s="60"/>
    </row>
    <row r="122" spans="1:55" s="29" customFormat="1" ht="30" customHeight="1">
      <c r="A122" s="60"/>
      <c r="B122" s="489"/>
      <c r="C122" s="862" t="s">
        <v>300</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39"/>
      <c r="AK122" s="490"/>
      <c r="AL122" s="39"/>
      <c r="AM122" s="59"/>
      <c r="AN122" s="60"/>
      <c r="AO122" s="60"/>
      <c r="AP122" s="60"/>
      <c r="AQ122" s="60"/>
      <c r="AR122" s="60"/>
      <c r="AS122" s="60"/>
      <c r="AT122" s="60"/>
      <c r="AU122" s="60"/>
      <c r="AV122" s="60"/>
      <c r="AW122" s="60"/>
      <c r="AX122" s="60"/>
      <c r="AY122" s="60"/>
    </row>
    <row r="123" spans="1:55" s="29" customFormat="1" ht="3.6" customHeight="1">
      <c r="A123" s="60"/>
      <c r="B123" s="489"/>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0"/>
      <c r="AL123" s="59"/>
      <c r="AM123" s="59"/>
      <c r="AN123" s="60"/>
      <c r="AO123" s="60"/>
      <c r="AP123" s="60"/>
      <c r="AQ123" s="60"/>
      <c r="AR123" s="60"/>
      <c r="AS123" s="60"/>
      <c r="AT123" s="60"/>
      <c r="AU123" s="60"/>
      <c r="AV123" s="60"/>
      <c r="AW123" s="60"/>
      <c r="AX123" s="60"/>
      <c r="AY123" s="60"/>
    </row>
    <row r="124" spans="1:55" s="29" customFormat="1" ht="15" customHeight="1">
      <c r="A124" s="60"/>
      <c r="B124" s="491"/>
      <c r="C124" s="44" t="s">
        <v>301</v>
      </c>
      <c r="D124" s="44"/>
      <c r="E124" s="863">
        <v>7</v>
      </c>
      <c r="F124" s="864"/>
      <c r="G124" s="44" t="s">
        <v>302</v>
      </c>
      <c r="H124" s="863">
        <v>4</v>
      </c>
      <c r="I124" s="864"/>
      <c r="J124" s="44" t="s">
        <v>303</v>
      </c>
      <c r="K124" s="863">
        <v>1</v>
      </c>
      <c r="L124" s="864"/>
      <c r="M124" s="44" t="s">
        <v>304</v>
      </c>
      <c r="N124" s="39"/>
      <c r="O124" s="865" t="s">
        <v>178</v>
      </c>
      <c r="P124" s="865"/>
      <c r="Q124" s="865"/>
      <c r="R124" s="1018" t="str">
        <f>IF(H7="","",H7)</f>
        <v>○○ケアサービス</v>
      </c>
      <c r="S124" s="1018"/>
      <c r="T124" s="1018"/>
      <c r="U124" s="1018"/>
      <c r="V124" s="1018"/>
      <c r="W124" s="1018"/>
      <c r="X124" s="1018"/>
      <c r="Y124" s="1018"/>
      <c r="Z124" s="1018"/>
      <c r="AA124" s="1018"/>
      <c r="AB124" s="1018"/>
      <c r="AC124" s="1018"/>
      <c r="AD124" s="1018"/>
      <c r="AE124" s="1018"/>
      <c r="AF124" s="1018"/>
      <c r="AG124" s="1018"/>
      <c r="AH124" s="1018"/>
      <c r="AI124" s="1018"/>
      <c r="AJ124" s="492"/>
      <c r="AK124" s="493"/>
      <c r="AL124" s="494"/>
      <c r="AM124" s="59"/>
      <c r="AN124" s="59"/>
      <c r="AO124" s="59"/>
      <c r="AP124" s="59"/>
      <c r="AQ124" s="59"/>
      <c r="AR124" s="59"/>
      <c r="AS124" s="59"/>
      <c r="AT124" s="59"/>
      <c r="AU124" s="59"/>
      <c r="AV124" s="59"/>
      <c r="AW124" s="407"/>
      <c r="AX124" s="59"/>
      <c r="AY124" s="59"/>
      <c r="AZ124"/>
    </row>
    <row r="125" spans="1:55" s="29" customFormat="1" ht="14.4" customHeight="1">
      <c r="A125" s="59"/>
      <c r="B125" s="491"/>
      <c r="C125" s="45"/>
      <c r="D125" s="44"/>
      <c r="E125" s="44"/>
      <c r="F125" s="44"/>
      <c r="G125" s="44"/>
      <c r="H125" s="44"/>
      <c r="I125" s="44"/>
      <c r="J125" s="44"/>
      <c r="K125" s="44"/>
      <c r="L125" s="44"/>
      <c r="M125" s="44"/>
      <c r="N125" s="1023" t="s">
        <v>305</v>
      </c>
      <c r="O125" s="1023"/>
      <c r="P125" s="1023"/>
      <c r="Q125" s="1023"/>
      <c r="R125" s="850" t="s">
        <v>22</v>
      </c>
      <c r="S125" s="850"/>
      <c r="T125" s="851" t="str">
        <f>IF(基本情報入力シート!L26="", "", 基本情報入力シート!L26)</f>
        <v>代表取締役</v>
      </c>
      <c r="U125" s="851"/>
      <c r="V125" s="851"/>
      <c r="W125" s="851"/>
      <c r="X125" s="851"/>
      <c r="Y125" s="1022" t="s">
        <v>23</v>
      </c>
      <c r="Z125" s="1022"/>
      <c r="AA125" s="851" t="str">
        <f>IF(基本情報入力シート!L27="", "", 基本情報入力シート!L27)</f>
        <v>厚労 花子</v>
      </c>
      <c r="AB125" s="851"/>
      <c r="AC125" s="851"/>
      <c r="AD125" s="851"/>
      <c r="AE125" s="851"/>
      <c r="AF125" s="851"/>
      <c r="AG125" s="851"/>
      <c r="AH125" s="851"/>
      <c r="AI125" s="851"/>
      <c r="AJ125" s="45"/>
      <c r="AK125" s="495"/>
      <c r="AL125" s="494"/>
      <c r="AM125" s="494"/>
      <c r="AN125" s="59"/>
      <c r="AO125" s="59"/>
      <c r="AP125" s="59"/>
      <c r="AQ125" s="59"/>
      <c r="AR125" s="59"/>
      <c r="AS125" s="59"/>
      <c r="AT125" s="59"/>
      <c r="AU125" s="59"/>
      <c r="AV125" s="59"/>
      <c r="AW125" s="407"/>
      <c r="AX125" s="59"/>
      <c r="AY125" s="59"/>
      <c r="AZ125"/>
      <c r="BA125"/>
      <c r="BB125"/>
      <c r="BC125"/>
    </row>
    <row r="126" spans="1:55" ht="5.4" customHeight="1" thickBot="1">
      <c r="A126" s="59"/>
      <c r="B126" s="496"/>
      <c r="C126" s="497"/>
      <c r="D126" s="498"/>
      <c r="E126" s="498"/>
      <c r="F126" s="498"/>
      <c r="G126" s="498"/>
      <c r="H126" s="498"/>
      <c r="I126" s="498"/>
      <c r="J126" s="498"/>
      <c r="K126" s="498"/>
      <c r="L126" s="498"/>
      <c r="M126" s="498"/>
      <c r="N126" s="498"/>
      <c r="O126" s="498"/>
      <c r="P126" s="498"/>
      <c r="Q126" s="497"/>
      <c r="R126" s="498"/>
      <c r="S126" s="499"/>
      <c r="T126" s="499"/>
      <c r="U126" s="499"/>
      <c r="V126" s="499"/>
      <c r="W126" s="499"/>
      <c r="X126" s="500"/>
      <c r="Y126" s="500"/>
      <c r="Z126" s="500"/>
      <c r="AA126" s="500"/>
      <c r="AB126" s="500"/>
      <c r="AC126" s="500"/>
      <c r="AD126" s="500"/>
      <c r="AE126" s="500"/>
      <c r="AF126" s="500"/>
      <c r="AG126" s="500"/>
      <c r="AH126" s="500"/>
      <c r="AI126" s="500"/>
      <c r="AJ126" s="501"/>
      <c r="AK126" s="502"/>
      <c r="AL126" s="494"/>
      <c r="AM126" s="494"/>
      <c r="AN126" s="59"/>
      <c r="AO126" s="59"/>
      <c r="AP126" s="59"/>
      <c r="AQ126" s="59"/>
      <c r="AR126" s="59"/>
      <c r="AS126" s="59"/>
      <c r="AT126" s="59"/>
      <c r="AU126" s="59"/>
      <c r="AV126" s="59"/>
      <c r="AW126" s="407"/>
      <c r="AX126" s="59"/>
      <c r="AY126" s="59"/>
    </row>
    <row r="127" spans="1:55" ht="1.95" customHeight="1">
      <c r="A127" s="59"/>
      <c r="B127" s="61"/>
      <c r="C127" s="494"/>
      <c r="D127" s="61"/>
      <c r="E127" s="61"/>
      <c r="F127" s="61"/>
      <c r="G127" s="61"/>
      <c r="H127" s="61"/>
      <c r="I127" s="61"/>
      <c r="J127" s="61"/>
      <c r="K127" s="61"/>
      <c r="L127" s="61"/>
      <c r="M127" s="61"/>
      <c r="N127" s="61"/>
      <c r="O127" s="61"/>
      <c r="P127" s="61"/>
      <c r="Q127" s="494"/>
      <c r="R127" s="61"/>
      <c r="S127" s="503"/>
      <c r="T127" s="503"/>
      <c r="U127" s="503"/>
      <c r="V127" s="503"/>
      <c r="W127" s="503"/>
      <c r="X127" s="504"/>
      <c r="Y127" s="504"/>
      <c r="Z127" s="504"/>
      <c r="AA127" s="504"/>
      <c r="AB127" s="504"/>
      <c r="AC127" s="504"/>
      <c r="AD127" s="504"/>
      <c r="AE127" s="504"/>
      <c r="AF127" s="504"/>
      <c r="AG127" s="504"/>
      <c r="AH127" s="504"/>
      <c r="AI127" s="504"/>
      <c r="AJ127" s="505"/>
      <c r="AK127" s="494"/>
      <c r="AL127" s="494"/>
      <c r="AM127" s="494"/>
      <c r="AN127" s="59"/>
      <c r="AO127" s="59"/>
      <c r="AP127" s="59"/>
      <c r="AQ127" s="59"/>
      <c r="AR127" s="59"/>
      <c r="AS127" s="59"/>
      <c r="AT127" s="59"/>
      <c r="AU127" s="59"/>
      <c r="AV127" s="59"/>
      <c r="AW127" s="407"/>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4"/>
      <c r="AN128" s="60"/>
      <c r="AO128" s="60"/>
      <c r="AP128" s="60"/>
      <c r="AQ128" s="60"/>
      <c r="AR128" s="60"/>
      <c r="AS128" s="60"/>
      <c r="AT128" s="60"/>
      <c r="AU128" s="60"/>
      <c r="AV128" s="60"/>
      <c r="AW128" s="60"/>
      <c r="AX128" s="60"/>
      <c r="AY128" s="60"/>
      <c r="AZ128" s="29"/>
    </row>
    <row r="129" spans="1:56" s="29" customFormat="1" ht="15" customHeight="1">
      <c r="A129" s="59"/>
      <c r="B129" s="406" t="s">
        <v>196</v>
      </c>
      <c r="C129" s="402"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3"/>
      <c r="B130" s="406" t="s">
        <v>297</v>
      </c>
      <c r="C130" s="402" t="s">
        <v>309</v>
      </c>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59"/>
      <c r="AN130" s="403"/>
      <c r="AO130" s="403"/>
      <c r="AP130" s="403"/>
      <c r="AQ130" s="403"/>
      <c r="AR130" s="403"/>
      <c r="AS130" s="403"/>
      <c r="AT130" s="403"/>
      <c r="AU130" s="403"/>
      <c r="AV130" s="403"/>
      <c r="AW130" s="403"/>
      <c r="AX130" s="403"/>
      <c r="AY130" s="403"/>
      <c r="AZ130" s="506"/>
    </row>
    <row r="131" spans="1:56" s="506" customFormat="1" ht="4.2"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3"/>
      <c r="AN131" s="59"/>
      <c r="AO131" s="59"/>
      <c r="AP131" s="59"/>
      <c r="AQ131" s="59"/>
      <c r="AR131" s="59"/>
      <c r="AS131" s="59"/>
      <c r="AT131" s="59"/>
      <c r="AU131" s="59"/>
      <c r="AV131" s="59"/>
      <c r="AW131" s="59"/>
      <c r="AX131" s="59"/>
      <c r="AY131" s="59"/>
      <c r="AZ131"/>
    </row>
    <row r="132" spans="1:56" ht="10.95" customHeight="1">
      <c r="A132" s="59"/>
      <c r="B132" s="852" t="s">
        <v>310</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59"/>
      <c r="AM132" s="59"/>
      <c r="AN132" s="59"/>
      <c r="AO132" s="59"/>
      <c r="AP132" s="59"/>
      <c r="AQ132" s="59"/>
      <c r="AR132" s="59"/>
      <c r="AS132" s="59"/>
      <c r="AT132" s="59"/>
      <c r="AU132" s="59"/>
      <c r="AV132" s="59"/>
      <c r="AW132" s="59"/>
      <c r="AX132" s="59"/>
      <c r="AY132" s="59"/>
    </row>
    <row r="133" spans="1:56">
      <c r="A133" s="59"/>
      <c r="B133" s="1019" t="s">
        <v>311</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2" t="str">
        <f>Y19</f>
        <v>○</v>
      </c>
      <c r="AL133" s="59"/>
      <c r="AM133" s="59"/>
      <c r="AN133" s="471"/>
      <c r="AO133" s="471"/>
      <c r="AP133" s="471"/>
      <c r="AQ133" s="471"/>
      <c r="AR133" s="471"/>
      <c r="AS133" s="471"/>
      <c r="AT133" s="471"/>
      <c r="AU133" s="471"/>
      <c r="AV133" s="471"/>
      <c r="AW133" s="471"/>
      <c r="AX133" s="471"/>
      <c r="AY133" s="471"/>
      <c r="AZ133" s="473"/>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1"/>
      <c r="AO134" s="471"/>
      <c r="AP134" s="471"/>
      <c r="AQ134" s="471"/>
      <c r="AR134" s="471"/>
      <c r="AS134" s="471"/>
      <c r="AT134" s="471"/>
      <c r="AU134" s="471"/>
      <c r="AV134" s="471"/>
      <c r="AW134" s="471"/>
      <c r="AX134" s="471"/>
      <c r="AY134" s="471"/>
      <c r="AZ134" s="473"/>
      <c r="BA134" s="473"/>
      <c r="BB134" s="473"/>
      <c r="BC134" s="473"/>
      <c r="BD134" s="473"/>
    </row>
    <row r="135" spans="1:56" ht="13.2" customHeight="1">
      <c r="A135" s="471"/>
      <c r="B135" s="852" t="s">
        <v>312</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59"/>
      <c r="AM135" s="59"/>
      <c r="AN135" s="471"/>
      <c r="AO135" s="471"/>
      <c r="AP135" s="471"/>
      <c r="AQ135" s="471"/>
      <c r="AR135" s="471"/>
      <c r="AS135" s="471"/>
      <c r="AT135" s="471"/>
      <c r="AU135" s="471"/>
      <c r="AV135" s="471"/>
      <c r="AW135" s="471"/>
      <c r="AX135" s="471"/>
      <c r="AY135" s="471"/>
      <c r="AZ135" s="473"/>
      <c r="BA135" s="473"/>
      <c r="BB135" s="473"/>
      <c r="BC135" s="473"/>
      <c r="BD135" s="473"/>
    </row>
    <row r="136" spans="1:56" s="473" customFormat="1" ht="15" customHeight="1">
      <c r="A136" s="471"/>
      <c r="B136" s="507" t="s">
        <v>313</v>
      </c>
      <c r="C136" s="1011" t="s">
        <v>314</v>
      </c>
      <c r="D136" s="1012"/>
      <c r="E136" s="1012"/>
      <c r="F136" s="1012"/>
      <c r="G136" s="1012"/>
      <c r="H136" s="1012"/>
      <c r="I136" s="1013"/>
      <c r="J136" s="1004" t="s">
        <v>315</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2" t="str">
        <f>IF(H7="", "",IF(AND(AK28="○", AB29="○"), "○", "×"))</f>
        <v>○</v>
      </c>
      <c r="AL136" s="59"/>
      <c r="AM136" s="59"/>
      <c r="AN136" s="471"/>
      <c r="AO136" s="471"/>
      <c r="AP136" s="471"/>
      <c r="AQ136" s="471"/>
      <c r="AR136" s="471"/>
      <c r="AS136" s="471"/>
      <c r="AT136" s="471"/>
      <c r="AU136" s="471"/>
      <c r="AV136" s="471"/>
      <c r="AW136" s="471"/>
      <c r="AX136" s="471"/>
      <c r="AY136" s="471"/>
    </row>
    <row r="137" spans="1:56" s="473" customFormat="1" ht="15" customHeight="1">
      <c r="A137" s="471"/>
      <c r="B137" s="507" t="s">
        <v>316</v>
      </c>
      <c r="C137" s="1011" t="s">
        <v>317</v>
      </c>
      <c r="D137" s="1012"/>
      <c r="E137" s="1012"/>
      <c r="F137" s="1012"/>
      <c r="G137" s="1012"/>
      <c r="H137" s="1012"/>
      <c r="I137" s="1013"/>
      <c r="J137" s="1004" t="s">
        <v>318</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2" t="str">
        <f>IF(OR(H7="", AH38=""),"", IF(AND(AK36="○", AH38="○"), "○", "×"))</f>
        <v>○</v>
      </c>
      <c r="AL137" s="508"/>
      <c r="AM137" s="59"/>
      <c r="AN137" s="60"/>
      <c r="AO137" s="60"/>
      <c r="AP137" s="60"/>
      <c r="AQ137" s="60"/>
      <c r="AR137" s="60"/>
      <c r="AS137" s="60"/>
      <c r="AT137" s="60"/>
      <c r="AU137" s="60"/>
      <c r="AV137" s="60"/>
      <c r="AW137" s="60"/>
      <c r="AX137" s="60"/>
      <c r="AY137" s="60"/>
      <c r="AZ137" s="29"/>
    </row>
    <row r="138" spans="1:56" s="473" customFormat="1" ht="45.6" customHeight="1">
      <c r="A138" s="471"/>
      <c r="B138" s="507" t="s">
        <v>319</v>
      </c>
      <c r="C138" s="509" t="s">
        <v>320</v>
      </c>
      <c r="D138" s="509"/>
      <c r="E138" s="509"/>
      <c r="F138" s="509"/>
      <c r="G138" s="509"/>
      <c r="H138" s="509"/>
      <c r="I138" s="509"/>
      <c r="J138" s="858" t="s">
        <v>321</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2" t="str">
        <f>IF(H7="", "",IF(AK43="○", "○", "×"))</f>
        <v>○</v>
      </c>
      <c r="AL138" s="510"/>
      <c r="AM138" s="59"/>
      <c r="AN138" s="60"/>
      <c r="AO138" s="60"/>
      <c r="AP138" s="60"/>
      <c r="AQ138" s="60"/>
      <c r="AR138" s="60"/>
      <c r="AS138" s="60"/>
      <c r="AT138" s="60"/>
      <c r="AU138" s="60"/>
      <c r="AV138" s="60"/>
      <c r="AW138" s="60"/>
      <c r="AX138" s="60"/>
      <c r="AY138" s="60"/>
      <c r="AZ138" s="29"/>
      <c r="BA138" s="29"/>
      <c r="BB138" s="29"/>
      <c r="BC138" s="29"/>
      <c r="BD138" s="29"/>
    </row>
    <row r="139" spans="1:56" s="473" customFormat="1" ht="24" customHeight="1">
      <c r="A139" s="60"/>
      <c r="B139" s="511" t="s">
        <v>322</v>
      </c>
      <c r="C139" s="857" t="s">
        <v>323</v>
      </c>
      <c r="D139" s="857"/>
      <c r="E139" s="857"/>
      <c r="F139" s="857"/>
      <c r="G139" s="857"/>
      <c r="H139" s="857"/>
      <c r="I139" s="857"/>
      <c r="J139" s="858" t="s">
        <v>324</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2" t="str">
        <f>IF(H7="", "",IF(BA46=0, "", IF(AK46="○","○","×")))</f>
        <v>○</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1" t="s">
        <v>325</v>
      </c>
      <c r="C140" s="857" t="s">
        <v>326</v>
      </c>
      <c r="D140" s="857"/>
      <c r="E140" s="857"/>
      <c r="F140" s="857"/>
      <c r="G140" s="857"/>
      <c r="H140" s="857"/>
      <c r="I140" s="857"/>
      <c r="J140" s="858" t="s">
        <v>327</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2" t="str">
        <f>IF(H7="", "",IF(BA49=0, "", IF(OR(AK49="○",AK51="○"), "○", "×")))</f>
        <v>○</v>
      </c>
      <c r="AL140" s="59"/>
      <c r="AM140" s="59"/>
      <c r="AN140" s="60"/>
      <c r="AO140" s="60"/>
      <c r="AP140" s="60"/>
      <c r="AQ140" s="60"/>
      <c r="AR140" s="60"/>
      <c r="AS140" s="60"/>
      <c r="AT140" s="60"/>
      <c r="AU140" s="60"/>
      <c r="AV140" s="60"/>
      <c r="AW140" s="60"/>
      <c r="AX140" s="60"/>
      <c r="AY140" s="60"/>
    </row>
    <row r="141" spans="1:56" s="29" customFormat="1" ht="18" customHeight="1">
      <c r="A141" s="60"/>
      <c r="B141" s="511" t="s">
        <v>328</v>
      </c>
      <c r="C141" s="857" t="s">
        <v>329</v>
      </c>
      <c r="D141" s="857"/>
      <c r="E141" s="857"/>
      <c r="F141" s="857"/>
      <c r="G141" s="857"/>
      <c r="H141" s="857"/>
      <c r="I141" s="857"/>
      <c r="J141" s="1004" t="s">
        <v>330</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2" t="str">
        <f>IF(H7="", "",IF(BA59=0, "", IF(AK59="○", "○", "×")))</f>
        <v>○</v>
      </c>
      <c r="AL141" s="510"/>
      <c r="AM141" s="59"/>
      <c r="AN141" s="60"/>
      <c r="AO141" s="60"/>
      <c r="AP141" s="60"/>
      <c r="AQ141" s="60"/>
      <c r="AR141" s="60"/>
      <c r="AS141" s="60"/>
      <c r="AT141" s="60"/>
      <c r="AU141" s="60"/>
      <c r="AV141" s="60"/>
      <c r="AW141" s="60"/>
      <c r="AX141" s="60"/>
      <c r="AY141" s="60"/>
    </row>
    <row r="142" spans="1:56" s="29" customFormat="1" ht="22.2" customHeight="1">
      <c r="A142" s="60"/>
      <c r="B142" s="1006" t="s">
        <v>331</v>
      </c>
      <c r="C142" s="857" t="s">
        <v>332</v>
      </c>
      <c r="D142" s="857"/>
      <c r="E142" s="857"/>
      <c r="F142" s="857"/>
      <c r="G142" s="857"/>
      <c r="H142" s="857"/>
      <c r="I142" s="857"/>
      <c r="J142" s="858" t="s">
        <v>333</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2" t="str">
        <f>IF(H7="", "",IF(OR(AK62="○", AK63="○"), "○", "×"))</f>
        <v>○</v>
      </c>
      <c r="AL142" s="59"/>
      <c r="AM142" s="59"/>
      <c r="AN142" s="59"/>
      <c r="AO142" s="59"/>
      <c r="AP142" s="59"/>
      <c r="AQ142" s="59"/>
      <c r="AR142" s="59"/>
      <c r="AS142" s="59"/>
      <c r="AT142" s="59"/>
      <c r="AU142" s="59"/>
      <c r="AV142" s="59"/>
      <c r="AW142" s="59"/>
      <c r="AX142" s="407"/>
      <c r="AY142" s="59"/>
      <c r="AZ142"/>
    </row>
    <row r="143" spans="1:56" s="29" customFormat="1">
      <c r="A143" s="60"/>
      <c r="B143" s="1007"/>
      <c r="C143" s="1008"/>
      <c r="D143" s="1008"/>
      <c r="E143" s="1008"/>
      <c r="F143" s="1008"/>
      <c r="G143" s="1008"/>
      <c r="H143" s="1008"/>
      <c r="I143" s="1008"/>
      <c r="J143" s="1009" t="s">
        <v>334</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2" t="str">
        <f>IF(H7="", "",AK102)</f>
        <v/>
      </c>
      <c r="AL143" s="59"/>
      <c r="AM143" s="59"/>
      <c r="AN143" s="59"/>
      <c r="AO143" s="59"/>
      <c r="AP143" s="59"/>
      <c r="AQ143" s="59"/>
      <c r="AR143" s="59"/>
      <c r="AS143" s="59"/>
      <c r="AT143" s="59"/>
      <c r="AU143" s="59"/>
      <c r="AV143" s="59"/>
      <c r="AW143" s="59"/>
      <c r="AX143" s="407"/>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95" customHeight="1">
      <c r="A145" s="59"/>
      <c r="B145" s="852" t="s">
        <v>335</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59"/>
      <c r="AM145" s="59"/>
      <c r="AN145" s="59"/>
      <c r="AO145" s="59"/>
      <c r="AP145" s="59"/>
      <c r="AQ145" s="59"/>
      <c r="AR145" s="59"/>
      <c r="AS145" s="59"/>
      <c r="AT145" s="59"/>
      <c r="AU145" s="59"/>
      <c r="AV145" s="59"/>
      <c r="AW145" s="59"/>
      <c r="AX145" s="59"/>
      <c r="AY145" s="59"/>
    </row>
    <row r="146" spans="1:52">
      <c r="A146" s="59"/>
      <c r="B146" s="512" t="s">
        <v>196</v>
      </c>
      <c r="C146" s="853" t="s">
        <v>336</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2" t="str">
        <f>IF(H7="", "",AK108)</f>
        <v>○</v>
      </c>
      <c r="AL146" s="59"/>
      <c r="AM146" s="59"/>
      <c r="AN146" s="59"/>
      <c r="AO146" s="59"/>
      <c r="AP146" s="59"/>
      <c r="AQ146" s="59"/>
      <c r="AR146" s="59"/>
      <c r="AS146" s="59"/>
      <c r="AT146" s="59"/>
      <c r="AU146" s="59"/>
      <c r="AV146" s="59"/>
      <c r="AW146" s="59"/>
      <c r="AX146" s="59"/>
      <c r="AY146" s="59"/>
    </row>
    <row r="147" spans="1:52">
      <c r="A147" s="59"/>
      <c r="B147" s="513" t="s">
        <v>196</v>
      </c>
      <c r="C147" s="855" t="s">
        <v>337</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2" t="str">
        <f>IF(H7="", "",AK120)</f>
        <v>○</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5" customHeight="1">
      <c r="AM149" s="59"/>
      <c r="AN149" s="59"/>
      <c r="AO149" s="59"/>
      <c r="AP149" s="59"/>
      <c r="AQ149" s="59"/>
      <c r="AR149" s="59"/>
      <c r="AS149" s="59"/>
      <c r="AT149" s="59"/>
      <c r="AU149" s="59"/>
      <c r="AV149" s="59"/>
      <c r="AW149" s="59"/>
      <c r="AX149" s="59"/>
      <c r="AY149" s="59"/>
    </row>
    <row r="150" spans="1:52" ht="13.2"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2"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95" customHeight="1">
      <c r="AM160" s="59"/>
      <c r="AN160" s="494"/>
      <c r="AO160" s="494"/>
      <c r="AP160" s="494"/>
      <c r="AQ160" s="494"/>
      <c r="AR160" s="494"/>
      <c r="AS160" s="494"/>
      <c r="AT160" s="494"/>
      <c r="AU160" s="494"/>
      <c r="AV160" s="494"/>
      <c r="AW160" s="494"/>
      <c r="AX160" s="494"/>
      <c r="AY160" s="494"/>
      <c r="AZ160" s="33"/>
    </row>
    <row r="161" spans="39:56" ht="18" customHeight="1">
      <c r="AM161" s="59"/>
      <c r="AN161" s="494"/>
      <c r="AO161" s="494"/>
      <c r="AP161" s="494"/>
      <c r="AQ161" s="494"/>
      <c r="AR161" s="494"/>
      <c r="AS161" s="494"/>
      <c r="AT161" s="494"/>
      <c r="AU161" s="494"/>
      <c r="AV161" s="494"/>
      <c r="AW161" s="494"/>
      <c r="AX161" s="494"/>
      <c r="AY161" s="494"/>
      <c r="AZ161" s="33"/>
      <c r="BA161" s="33"/>
      <c r="BB161" s="33"/>
      <c r="BC161" s="33"/>
      <c r="BD161" s="33"/>
    </row>
    <row r="162" spans="39:56" s="33" customFormat="1">
      <c r="AM162" s="59"/>
      <c r="AN162" s="494"/>
      <c r="AO162" s="494"/>
      <c r="AP162" s="494"/>
      <c r="AQ162" s="494"/>
      <c r="AR162" s="494"/>
      <c r="AS162" s="494"/>
      <c r="AT162" s="494"/>
      <c r="AU162" s="494"/>
      <c r="AV162" s="494"/>
      <c r="AW162" s="494"/>
      <c r="AX162" s="494"/>
      <c r="AY162" s="494"/>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 customHeight="1">
      <c r="AM165" s="59"/>
      <c r="AN165" s="59"/>
      <c r="AO165" s="59"/>
      <c r="AP165" s="59"/>
      <c r="AQ165" s="59"/>
      <c r="AR165" s="59"/>
      <c r="AS165" s="59"/>
      <c r="AT165" s="59"/>
      <c r="AU165" s="59"/>
      <c r="AV165" s="59"/>
      <c r="AW165" s="59"/>
      <c r="AX165" s="59"/>
      <c r="AY165" s="59"/>
    </row>
    <row r="166" spans="39:56" ht="34.200000000000003"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6">
      <formula>$Y$18&lt;&gt;"×"</formula>
    </cfRule>
  </conditionalFormatting>
  <conditionalFormatting sqref="AM19:AY19">
    <cfRule type="expression" dxfId="60" priority="68">
      <formula>OR($Y$19="○", $Y$19="")</formula>
    </cfRule>
  </conditionalFormatting>
  <conditionalFormatting sqref="AM29:AY30">
    <cfRule type="expression" dxfId="59" priority="69">
      <formula>$AB$29="○"</formula>
    </cfRule>
  </conditionalFormatting>
  <conditionalFormatting sqref="AM37:AY37">
    <cfRule type="expression" dxfId="58" priority="66">
      <formula>$AH$37&lt;&gt;"×"</formula>
    </cfRule>
  </conditionalFormatting>
  <conditionalFormatting sqref="AM37:AY38">
    <cfRule type="expression" dxfId="57" priority="65">
      <formula>AND($AH$37&lt;&gt;"×",$AH$38&lt;&gt;"×")</formula>
    </cfRule>
  </conditionalFormatting>
  <conditionalFormatting sqref="AM38:AY38">
    <cfRule type="expression" dxfId="56" priority="81">
      <formula>$AH$38&lt;&gt;"×"</formula>
    </cfRule>
  </conditionalFormatting>
  <conditionalFormatting sqref="AM102:AX103">
    <cfRule type="expression" dxfId="55" priority="75">
      <formula>$AK$102&lt;&gt;"×"</formula>
    </cfRule>
  </conditionalFormatting>
  <conditionalFormatting sqref="AM108:AY108 AM62:AY64">
    <cfRule type="expression" dxfId="54" priority="76">
      <formula>$AK$108&lt;&gt;"×"</formula>
    </cfRule>
  </conditionalFormatting>
  <conditionalFormatting sqref="AM52:AY52">
    <cfRule type="expression" dxfId="53" priority="58">
      <formula>$AK$51&lt;&gt;"×"</formula>
    </cfRule>
  </conditionalFormatting>
  <conditionalFormatting sqref="AK137">
    <cfRule type="expression" dxfId="52" priority="42">
      <formula>AND($AK$137="", $H$7&lt;&gt;"")</formula>
    </cfRule>
  </conditionalFormatting>
  <conditionalFormatting sqref="AK139">
    <cfRule type="expression" dxfId="51" priority="41">
      <formula>AND($AK$139="", $H$7&lt;&gt;"")</formula>
    </cfRule>
  </conditionalFormatting>
  <conditionalFormatting sqref="AK140">
    <cfRule type="expression" dxfId="50" priority="40">
      <formula>AND($AK$140="", $H$7&lt;&gt;"")</formula>
    </cfRule>
  </conditionalFormatting>
  <conditionalFormatting sqref="AK141">
    <cfRule type="expression" dxfId="49" priority="39">
      <formula>AND($AK$141="", $H$7&lt;&gt;"")</formula>
    </cfRule>
  </conditionalFormatting>
  <conditionalFormatting sqref="AK143">
    <cfRule type="expression" dxfId="48" priority="38">
      <formula>AND($AK$143="", $H$7&lt;&gt;"")</formula>
    </cfRule>
  </conditionalFormatting>
  <conditionalFormatting sqref="Z20">
    <cfRule type="expression" dxfId="47" priority="1239">
      <formula>#REF!="○"</formula>
    </cfRule>
  </conditionalFormatting>
  <conditionalFormatting sqref="AM42:AY43">
    <cfRule type="expression" dxfId="46" priority="1241">
      <formula>$AK$43=""</formula>
    </cfRule>
  </conditionalFormatting>
  <conditionalFormatting sqref="AM45:AY46">
    <cfRule type="expression" dxfId="45" priority="1243">
      <formula>$AK$46=""</formula>
    </cfRule>
  </conditionalFormatting>
  <conditionalFormatting sqref="B51:AK56">
    <cfRule type="expression" dxfId="44" priority="1247">
      <formula>$AK$49="○"</formula>
    </cfRule>
  </conditionalFormatting>
  <conditionalFormatting sqref="B49:AK56 B103:AK104 B102:C102 AK102 B101:AK101">
    <cfRule type="expression" dxfId="43" priority="1251">
      <formula>AND($BA$49=0, $H$7&lt;&gt;"")</formula>
    </cfRule>
  </conditionalFormatting>
  <conditionalFormatting sqref="B59:AK59">
    <cfRule type="expression" dxfId="42" priority="1252">
      <formula>AND($BA$59=0, $H$7&lt;&gt;"")</formula>
    </cfRule>
  </conditionalFormatting>
  <conditionalFormatting sqref="B46:AK46">
    <cfRule type="expression" dxfId="41" priority="26">
      <formula>AND($BA$46=0, $H$7&lt;&gt;"")</formula>
    </cfRule>
  </conditionalFormatting>
  <conditionalFormatting sqref="AM56:AY56">
    <cfRule type="expression" dxfId="40" priority="2012">
      <formula>OR(AND($BA$56=FALSE),AND($BA$56=TRUE,$F$56&lt;&gt;""))</formula>
    </cfRule>
  </conditionalFormatting>
  <conditionalFormatting sqref="B63:AK77 B89:AK104 B88:G88 B79:AK87 B78:G78">
    <cfRule type="expression" dxfId="39" priority="5">
      <formula>$AK$62="○"</formula>
    </cfRule>
  </conditionalFormatting>
  <conditionalFormatting sqref="AM72:AX73">
    <cfRule type="expression" dxfId="38" priority="2016">
      <formula>OR(AND($AI$65="該当", $BA$72&gt;=2), AND($AI$65="", $BA$72&gt;=1), $AK$62="○")</formula>
    </cfRule>
  </conditionalFormatting>
  <conditionalFormatting sqref="AM76:AX77">
    <cfRule type="expression" dxfId="37" priority="2017">
      <formula>OR(AND($AI$65="該当",$BA$76&gt;=2), AND($AI$65="", $BA$76&gt;=1), $AK$62="○")</formula>
    </cfRule>
  </conditionalFormatting>
  <conditionalFormatting sqref="AM80:AX81">
    <cfRule type="expression" dxfId="36" priority="2018">
      <formula>OR(AND($AI$65="該当", $BA$80&gt;=2), AND($AI$65="", $BA$80&gt;=1), $AK$62="○")</formula>
    </cfRule>
  </conditionalFormatting>
  <conditionalFormatting sqref="AM84:AX85">
    <cfRule type="expression" dxfId="35" priority="2019">
      <formula>OR(AND($AI$65="該当", $BA$84&gt;=2), AND($AI$65="", $BA$84&gt;=1), $AK$62="○")</formula>
    </cfRule>
  </conditionalFormatting>
  <conditionalFormatting sqref="AM90:AX91">
    <cfRule type="expression" dxfId="34" priority="2020">
      <formula>OR(AND($AI$65="該当", $BA$88&gt;=3), AND($AI$65="", $BA$88&gt;=2), $AK$62="○")</formula>
    </cfRule>
  </conditionalFormatting>
  <conditionalFormatting sqref="AM96:AX97">
    <cfRule type="expression" dxfId="33" priority="2021">
      <formula>OR(AND($AI$65="該当", $BA$96&gt;=2), AND($AI$65="", $BA$96&gt;=1), $AK$62="○")</formula>
    </cfRule>
  </conditionalFormatting>
  <conditionalFormatting sqref="AM88:AX88">
    <cfRule type="expression" dxfId="32" priority="2022">
      <formula>OR($AI$65="", $E$88&lt;&gt;"", $E$89&lt;&gt;"", $AK$62="✓")</formula>
    </cfRule>
  </conditionalFormatting>
  <conditionalFormatting sqref="B39:AK40 B37:C38 T37:AK38">
    <cfRule type="expression" dxfId="31" priority="3">
      <formula>AND($T$37=0, $H$7&lt;&gt;"")</formula>
    </cfRule>
  </conditionalFormatting>
  <conditionalFormatting sqref="A5:AL29 A31:AL148 A30:S30 Z30:AL30">
    <cfRule type="expression" dxfId="30" priority="2">
      <formula>$A$4&lt;&gt;""</formula>
    </cfRule>
  </conditionalFormatting>
  <conditionalFormatting sqref="T30:Y30">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AH12" sqref="AH12:AH331"/>
    </sheetView>
  </sheetViews>
  <sheetFormatPr defaultColWidth="2.44140625" defaultRowHeight="16.2"/>
  <cols>
    <col min="1" max="1" width="5.44140625" customWidth="1"/>
    <col min="2" max="6" width="2.44140625" style="376" customWidth="1"/>
    <col min="7" max="7" width="12.44140625" customWidth="1"/>
    <col min="8" max="8" width="9" customWidth="1"/>
    <col min="9" max="9" width="9.44140625" style="377" customWidth="1"/>
    <col min="10" max="10" width="14.44140625" customWidth="1"/>
    <col min="11" max="11" width="17.44140625" style="65" customWidth="1"/>
    <col min="12" max="12" width="14" customWidth="1"/>
    <col min="13" max="13" width="11.44140625" style="378" customWidth="1"/>
    <col min="14" max="14" width="14.44140625" style="380" customWidth="1"/>
    <col min="15" max="15" width="12" style="227" customWidth="1"/>
    <col min="16" max="16" width="18.44140625" style="381" customWidth="1"/>
    <col min="17" max="17" width="7" style="227" customWidth="1"/>
    <col min="18" max="18" width="4.44140625" style="65" customWidth="1"/>
    <col min="19" max="19" width="2.88671875" style="379" customWidth="1"/>
    <col min="20" max="20" width="2.88671875" style="65" customWidth="1"/>
    <col min="21" max="21" width="3.44140625" style="379" customWidth="1"/>
    <col min="22" max="22" width="9.88671875" style="65" customWidth="1"/>
    <col min="23" max="23" width="2.88671875" style="379" customWidth="1"/>
    <col min="24" max="24" width="2.88671875" style="65" customWidth="1"/>
    <col min="25" max="25" width="3.44140625" style="379" customWidth="1"/>
    <col min="26" max="27" width="2.88671875" style="65" customWidth="1"/>
    <col min="28" max="28" width="4.44140625" style="65" customWidth="1"/>
    <col min="29" max="29" width="6.109375" style="65" customWidth="1"/>
    <col min="30" max="30" width="18.109375" style="227" customWidth="1"/>
    <col min="31" max="31" width="17.44140625" style="227" customWidth="1"/>
    <col min="32" max="32" width="9.88671875" style="28" customWidth="1"/>
    <col min="33" max="33" width="18.44140625" style="227" customWidth="1"/>
    <col min="34" max="34" width="9.88671875" style="28" customWidth="1"/>
    <col min="35" max="35" width="20.44140625" style="28" customWidth="1"/>
    <col min="36" max="36" width="21.44140625" style="28" customWidth="1"/>
    <col min="37" max="37" width="21.44140625" style="382" customWidth="1"/>
    <col min="38" max="38" width="22.44140625" style="383" customWidth="1"/>
    <col min="39" max="39" width="96.44140625" style="53" customWidth="1"/>
    <col min="40" max="40" width="7.109375" style="53" customWidth="1"/>
    <col min="41" max="41" width="15.44140625" style="53" hidden="1" customWidth="1"/>
    <col min="42" max="42" width="29.44140625" style="53" hidden="1" customWidth="1"/>
    <col min="43" max="43" width="18.44140625" style="315" hidden="1" customWidth="1"/>
    <col min="44" max="44" width="16.44140625" style="315" hidden="1" customWidth="1"/>
    <col min="45" max="45" width="14.44140625" style="315" hidden="1" customWidth="1"/>
    <col min="46" max="46" width="34.44140625" style="315" hidden="1" customWidth="1"/>
    <col min="47" max="50" width="10" style="315" hidden="1" customWidth="1"/>
    <col min="51" max="51" width="14.44140625" style="315" hidden="1" customWidth="1"/>
    <col min="52" max="52" width="13.88671875" style="315" bestFit="1" customWidth="1"/>
    <col min="53" max="53" width="15.44140625" style="315" customWidth="1"/>
    <col min="54" max="54" width="12.88671875" style="315" customWidth="1"/>
    <col min="55" max="55" width="11.44140625" style="315" customWidth="1"/>
    <col min="56" max="58" width="6.88671875" style="315" customWidth="1"/>
    <col min="59" max="59" width="6.88671875" style="316" customWidth="1"/>
    <col min="60" max="60" width="22.109375" customWidth="1"/>
  </cols>
  <sheetData>
    <row r="1" spans="1:60" ht="29.25" customHeight="1" thickBot="1">
      <c r="A1" s="301" t="s">
        <v>2560</v>
      </c>
      <c r="B1" s="302"/>
      <c r="C1" s="302"/>
      <c r="D1" s="302"/>
      <c r="E1" s="302"/>
      <c r="F1" s="302"/>
      <c r="G1" s="64"/>
      <c r="H1" s="64"/>
      <c r="I1" s="303"/>
      <c r="J1" s="64"/>
      <c r="K1" s="229"/>
      <c r="L1" s="64"/>
      <c r="M1" s="304"/>
      <c r="N1" s="305"/>
      <c r="O1" s="305"/>
      <c r="P1" s="307"/>
      <c r="Q1" s="266"/>
      <c r="R1" s="308"/>
      <c r="S1" s="309"/>
      <c r="T1" s="309"/>
      <c r="U1" s="309"/>
      <c r="V1" s="309"/>
      <c r="W1" s="309"/>
      <c r="X1" s="309"/>
      <c r="Y1" s="309"/>
      <c r="Z1" s="309"/>
      <c r="AA1" s="309"/>
      <c r="AB1" s="309"/>
      <c r="AC1" s="309"/>
      <c r="AD1" s="310"/>
      <c r="AE1" s="310"/>
      <c r="AF1" s="311"/>
      <c r="AG1" s="310"/>
      <c r="AH1" s="311"/>
      <c r="AI1" s="59"/>
      <c r="AJ1" s="312" t="s">
        <v>174</v>
      </c>
      <c r="AK1" s="312" t="str">
        <f>IF(基本情報入力シート!V16="", "", 基本情報入力シート!V16)</f>
        <v>奈良県</v>
      </c>
      <c r="AL1" s="313"/>
      <c r="AM1" s="314"/>
      <c r="AN1" s="313"/>
      <c r="AO1" s="843" t="s">
        <v>175</v>
      </c>
      <c r="AP1" s="843"/>
      <c r="AQ1" s="843"/>
      <c r="AR1" s="843"/>
      <c r="AS1" s="843"/>
      <c r="BC1" s="316"/>
      <c r="BD1"/>
      <c r="BE1"/>
      <c r="BF1"/>
      <c r="BG1"/>
    </row>
    <row r="2" spans="1:60" ht="21" customHeight="1" thickBot="1">
      <c r="A2" s="317" t="str">
        <f>IF(AO2="補助金様式を都道府県に提出", "！基本情報入力シート「１　提出の目的と提出先の自治体名」にて「補助金様式を都道府県に提出」が選択されているため、この様式はグレーアウトされています。", "")</f>
        <v/>
      </c>
      <c r="B2" s="318"/>
      <c r="C2" s="318"/>
      <c r="D2" s="318"/>
      <c r="E2" s="318"/>
      <c r="F2" s="318"/>
      <c r="G2" s="319"/>
      <c r="H2" s="319"/>
      <c r="I2" s="320"/>
      <c r="J2" s="319"/>
      <c r="K2" s="321"/>
      <c r="L2" s="319"/>
      <c r="M2" s="322"/>
      <c r="N2" s="305"/>
      <c r="O2" s="305"/>
      <c r="P2" s="307"/>
      <c r="Q2" s="266"/>
      <c r="R2" s="308"/>
      <c r="S2" s="308"/>
      <c r="T2" s="308"/>
      <c r="U2" s="308"/>
      <c r="V2" s="308"/>
      <c r="W2" s="308"/>
      <c r="X2" s="308"/>
      <c r="Y2" s="308"/>
      <c r="Z2" s="308"/>
      <c r="AA2" s="308"/>
      <c r="AB2" s="308"/>
      <c r="AC2" s="308"/>
      <c r="AD2" s="310"/>
      <c r="AE2" s="266"/>
      <c r="AF2" s="59"/>
      <c r="AG2" s="266"/>
      <c r="AH2" s="59"/>
      <c r="AI2" s="59"/>
      <c r="AJ2" s="59"/>
      <c r="AK2" s="323"/>
      <c r="AL2" s="265"/>
      <c r="AM2" s="265"/>
      <c r="AO2" s="843" t="str">
        <f>IF(基本情報入力シート!V14="", "", 基本情報入力シート!V14)</f>
        <v/>
      </c>
      <c r="AP2" s="843"/>
      <c r="AQ2" s="843"/>
      <c r="AR2" s="843"/>
      <c r="AS2" s="843"/>
      <c r="BC2" s="316"/>
      <c r="BD2"/>
      <c r="BE2"/>
      <c r="BF2"/>
      <c r="BG2"/>
    </row>
    <row r="3" spans="1:60" ht="27" customHeight="1" thickBot="1">
      <c r="A3" s="1221" t="s">
        <v>178</v>
      </c>
      <c r="B3" s="1221"/>
      <c r="C3" s="1222"/>
      <c r="D3" s="1223" t="str">
        <f>IF(基本情報入力シート!L22="","",基本情報入力シート!L22)</f>
        <v>○○ケアサービス</v>
      </c>
      <c r="E3" s="1224"/>
      <c r="F3" s="1224"/>
      <c r="G3" s="1224"/>
      <c r="H3" s="1224"/>
      <c r="I3" s="1224"/>
      <c r="J3" s="1225"/>
      <c r="K3" s="229"/>
      <c r="L3" s="324"/>
      <c r="M3" s="325"/>
      <c r="N3" s="326"/>
      <c r="O3" s="326"/>
      <c r="P3" s="307"/>
      <c r="Q3" s="266"/>
      <c r="R3" s="308"/>
      <c r="S3" s="309"/>
      <c r="T3" s="309"/>
      <c r="U3" s="309"/>
      <c r="V3" s="309"/>
      <c r="W3" s="309"/>
      <c r="X3" s="309"/>
      <c r="Y3" s="309"/>
      <c r="Z3" s="309"/>
      <c r="AA3" s="309"/>
      <c r="AB3" s="309"/>
      <c r="AC3" s="309"/>
      <c r="AD3" s="310"/>
      <c r="AE3" s="266"/>
      <c r="AF3" s="59"/>
      <c r="AG3" s="266"/>
      <c r="AH3" s="59"/>
      <c r="AI3" s="59"/>
      <c r="AJ3" s="59"/>
      <c r="AK3" s="323"/>
      <c r="AL3" s="265"/>
      <c r="AM3" s="265"/>
      <c r="AO3" s="327"/>
      <c r="AP3" s="327"/>
      <c r="AQ3" s="327"/>
      <c r="AR3" s="327"/>
      <c r="AS3" s="327"/>
      <c r="BC3" s="316"/>
      <c r="BD3"/>
      <c r="BE3"/>
      <c r="BF3"/>
      <c r="BG3"/>
    </row>
    <row r="4" spans="1:60" ht="21" customHeight="1" thickBot="1">
      <c r="A4" s="232"/>
      <c r="B4" s="328"/>
      <c r="C4" s="328"/>
      <c r="D4" s="329"/>
      <c r="E4" s="329"/>
      <c r="F4" s="329"/>
      <c r="G4" s="273"/>
      <c r="H4" s="273"/>
      <c r="I4" s="273"/>
      <c r="J4" s="273"/>
      <c r="K4" s="273"/>
      <c r="L4" s="324"/>
      <c r="M4" s="325"/>
      <c r="N4" s="326"/>
      <c r="O4" s="326"/>
      <c r="P4" s="307"/>
      <c r="Q4" s="266"/>
      <c r="R4" s="308"/>
      <c r="S4" s="309"/>
      <c r="T4" s="309"/>
      <c r="U4" s="309"/>
      <c r="V4" s="309"/>
      <c r="W4" s="309"/>
      <c r="X4" s="309"/>
      <c r="Y4" s="309"/>
      <c r="Z4" s="309"/>
      <c r="AA4" s="309"/>
      <c r="AB4" s="309"/>
      <c r="AC4" s="309"/>
      <c r="AD4" s="310"/>
      <c r="AE4" s="330" t="s">
        <v>338</v>
      </c>
      <c r="AF4" s="271"/>
      <c r="AG4" s="331"/>
      <c r="AH4" s="271"/>
      <c r="AI4" s="332"/>
      <c r="AJ4" s="333"/>
      <c r="AK4" s="334"/>
      <c r="AL4" s="265"/>
      <c r="AM4" s="265"/>
      <c r="BC4" s="316"/>
      <c r="BD4"/>
      <c r="BE4"/>
      <c r="BF4"/>
      <c r="BG4"/>
    </row>
    <row r="5" spans="1:60" ht="35.25" customHeight="1">
      <c r="A5" s="1226" t="s">
        <v>2572</v>
      </c>
      <c r="B5" s="1227"/>
      <c r="C5" s="1227"/>
      <c r="D5" s="1227"/>
      <c r="E5" s="1227"/>
      <c r="F5" s="1227"/>
      <c r="G5" s="1227"/>
      <c r="H5" s="1227"/>
      <c r="I5" s="1227"/>
      <c r="J5" s="1227"/>
      <c r="K5" s="1227"/>
      <c r="L5" s="1184">
        <f>IFERROR(SUM(AD:AD),"")</f>
        <v>508991952</v>
      </c>
      <c r="M5" s="1184"/>
      <c r="N5" s="335" t="s">
        <v>186</v>
      </c>
      <c r="O5" s="326"/>
      <c r="P5" s="306"/>
      <c r="Q5" s="307"/>
      <c r="R5" s="266"/>
      <c r="S5" s="308"/>
      <c r="T5" s="309"/>
      <c r="U5" s="309"/>
      <c r="V5" s="309"/>
      <c r="W5" s="309"/>
      <c r="X5" s="309"/>
      <c r="Y5" s="309"/>
      <c r="Z5" s="309"/>
      <c r="AA5" s="309"/>
      <c r="AB5" s="309"/>
      <c r="AC5" s="309"/>
      <c r="AD5" s="310"/>
      <c r="AE5" s="1170" t="s">
        <v>339</v>
      </c>
      <c r="AF5" s="1171"/>
      <c r="AG5" s="1171"/>
      <c r="AH5" s="1171"/>
      <c r="AI5" s="1171"/>
      <c r="AJ5" s="1172"/>
      <c r="AK5" s="336">
        <f>SUM(AK12:AK411)</f>
        <v>18</v>
      </c>
      <c r="AL5" s="267"/>
      <c r="AM5" s="333"/>
      <c r="AN5" s="337"/>
      <c r="AO5" s="337"/>
      <c r="AP5" s="337"/>
      <c r="BC5" s="316"/>
      <c r="BD5"/>
      <c r="BE5"/>
      <c r="BF5"/>
      <c r="BG5"/>
    </row>
    <row r="6" spans="1:60" ht="35.25" customHeight="1" thickBot="1">
      <c r="A6" s="338"/>
      <c r="B6" s="1228" t="s">
        <v>2573</v>
      </c>
      <c r="C6" s="1227"/>
      <c r="D6" s="1227"/>
      <c r="E6" s="1227"/>
      <c r="F6" s="1227"/>
      <c r="G6" s="1227"/>
      <c r="H6" s="1227"/>
      <c r="I6" s="1227"/>
      <c r="J6" s="1227"/>
      <c r="K6" s="1227"/>
      <c r="L6" s="1184">
        <f>IFERROR(SUM(AE:AE),"")</f>
        <v>169857144</v>
      </c>
      <c r="M6" s="1184"/>
      <c r="N6" s="335" t="s">
        <v>186</v>
      </c>
      <c r="O6" s="305"/>
      <c r="P6" s="306"/>
      <c r="Q6" s="307"/>
      <c r="R6" s="266"/>
      <c r="S6" s="308"/>
      <c r="T6" s="309"/>
      <c r="U6" s="309"/>
      <c r="V6" s="309"/>
      <c r="W6" s="309"/>
      <c r="X6" s="309"/>
      <c r="Y6" s="309"/>
      <c r="Z6" s="309"/>
      <c r="AA6" s="309"/>
      <c r="AB6" s="309"/>
      <c r="AC6" s="309"/>
      <c r="AD6" s="310"/>
      <c r="AE6" s="1170" t="s">
        <v>340</v>
      </c>
      <c r="AF6" s="1171"/>
      <c r="AG6" s="1171"/>
      <c r="AH6" s="1171"/>
      <c r="AI6" s="1171"/>
      <c r="AJ6" s="1172"/>
      <c r="AK6" s="339">
        <f>SUM(AV:AV)</f>
        <v>18</v>
      </c>
      <c r="AL6" s="333"/>
      <c r="AM6" s="333"/>
      <c r="AN6" s="337"/>
      <c r="AO6" s="337"/>
      <c r="AP6" s="337"/>
      <c r="AT6" s="340"/>
      <c r="AU6" s="1183"/>
      <c r="AV6" s="1183"/>
      <c r="AW6" s="1183"/>
      <c r="AX6" s="1183"/>
      <c r="AY6" s="1183"/>
      <c r="AZ6" s="1183"/>
      <c r="BA6" s="1183"/>
      <c r="BB6" s="341"/>
      <c r="BC6" s="1183"/>
      <c r="BD6" s="1183"/>
      <c r="BE6" s="1183"/>
      <c r="BF6" s="1183"/>
      <c r="BG6" s="1183"/>
    </row>
    <row r="7" spans="1:60" ht="35.25" customHeight="1">
      <c r="A7" s="342"/>
      <c r="B7" s="1228" t="s">
        <v>2574</v>
      </c>
      <c r="C7" s="1227"/>
      <c r="D7" s="1227"/>
      <c r="E7" s="1227"/>
      <c r="F7" s="1227"/>
      <c r="G7" s="1227"/>
      <c r="H7" s="1227"/>
      <c r="I7" s="1227"/>
      <c r="J7" s="1227"/>
      <c r="K7" s="1227"/>
      <c r="L7" s="1184">
        <f>IFERROR(SUM(AG:AG),"")</f>
        <v>12447060</v>
      </c>
      <c r="M7" s="1184"/>
      <c r="N7" s="335" t="s">
        <v>186</v>
      </c>
      <c r="O7" s="305"/>
      <c r="P7" s="306"/>
      <c r="Q7" s="307"/>
      <c r="R7" s="266"/>
      <c r="S7" s="308"/>
      <c r="T7" s="309"/>
      <c r="U7" s="309"/>
      <c r="V7" s="309"/>
      <c r="W7" s="309"/>
      <c r="X7" s="309"/>
      <c r="Y7" s="309"/>
      <c r="Z7" s="309"/>
      <c r="AA7" s="309"/>
      <c r="AB7" s="309"/>
      <c r="AC7" s="309"/>
      <c r="AD7" s="310"/>
      <c r="AE7" s="266"/>
      <c r="AF7" s="59"/>
      <c r="AG7" s="266"/>
      <c r="AH7" s="59"/>
      <c r="AI7" s="59"/>
      <c r="AJ7" s="59"/>
      <c r="AK7" s="323"/>
      <c r="AL7" s="265"/>
      <c r="AM7" s="265"/>
      <c r="AO7" s="1208" t="s">
        <v>341</v>
      </c>
      <c r="AP7" s="1209"/>
      <c r="AT7" s="343"/>
      <c r="AU7" s="1169"/>
      <c r="AV7" s="1169"/>
      <c r="AW7" s="1169"/>
      <c r="AX7" s="1169"/>
      <c r="AY7" s="1169"/>
      <c r="AZ7" s="1169"/>
      <c r="BA7" s="1169"/>
      <c r="BB7" s="344"/>
      <c r="BC7" s="1169"/>
      <c r="BD7" s="1169"/>
      <c r="BE7" s="1169"/>
      <c r="BF7" s="1169"/>
      <c r="BG7" s="1169"/>
    </row>
    <row r="8" spans="1:60" ht="35.25" customHeight="1" thickBot="1">
      <c r="A8" s="1207" t="s">
        <v>342</v>
      </c>
      <c r="B8" s="1207"/>
      <c r="C8" s="1207"/>
      <c r="D8" s="1207"/>
      <c r="E8" s="1207"/>
      <c r="F8" s="1207"/>
      <c r="G8" s="1207"/>
      <c r="H8" s="1207"/>
      <c r="I8" s="1207"/>
      <c r="J8" s="1207"/>
      <c r="K8" s="1207"/>
      <c r="L8" s="1207"/>
      <c r="M8" s="1207"/>
      <c r="N8" s="305"/>
      <c r="O8" s="305"/>
      <c r="P8" s="345"/>
      <c r="Q8" s="266"/>
      <c r="R8" s="308"/>
      <c r="S8" s="308"/>
      <c r="T8" s="308"/>
      <c r="U8" s="309"/>
      <c r="V8" s="308"/>
      <c r="W8" s="308"/>
      <c r="X8" s="308"/>
      <c r="Y8" s="308"/>
      <c r="Z8" s="308"/>
      <c r="AA8" s="308"/>
      <c r="AB8" s="308"/>
      <c r="AC8" s="308"/>
      <c r="AD8" s="346"/>
      <c r="AE8" s="266"/>
      <c r="AF8" s="59"/>
      <c r="AG8" s="266"/>
      <c r="AH8" s="59"/>
      <c r="AI8" s="59"/>
      <c r="AJ8" s="59"/>
      <c r="AK8" s="323"/>
      <c r="AL8" s="265"/>
      <c r="AM8" s="265"/>
      <c r="AO8" s="347" t="s">
        <v>343</v>
      </c>
      <c r="AP8" s="347" t="s">
        <v>344</v>
      </c>
      <c r="AT8" s="343"/>
      <c r="AU8" s="1169"/>
      <c r="AV8" s="1169"/>
      <c r="AW8" s="1169"/>
      <c r="AX8" s="1169"/>
      <c r="AY8" s="1169"/>
      <c r="AZ8" s="1169"/>
      <c r="BA8" s="1169"/>
      <c r="BB8" s="344"/>
      <c r="BC8" s="1169"/>
      <c r="BD8" s="1169"/>
      <c r="BE8" s="1169"/>
      <c r="BF8" s="1169"/>
      <c r="BG8" s="1169"/>
    </row>
    <row r="9" spans="1:60" s="59" customFormat="1" ht="32.25" customHeight="1" thickBot="1">
      <c r="B9" s="348"/>
      <c r="C9" s="348"/>
      <c r="D9" s="348"/>
      <c r="E9" s="348"/>
      <c r="F9" s="348"/>
      <c r="I9" s="349"/>
      <c r="K9" s="308"/>
      <c r="M9" s="304"/>
      <c r="N9" s="305"/>
      <c r="O9" s="305"/>
      <c r="P9" s="307"/>
      <c r="Q9" s="266"/>
      <c r="R9" s="308"/>
      <c r="S9" s="309"/>
      <c r="T9" s="309"/>
      <c r="U9" s="309"/>
      <c r="V9" s="309"/>
      <c r="W9" s="309"/>
      <c r="X9" s="309"/>
      <c r="Y9" s="309"/>
      <c r="Z9" s="309"/>
      <c r="AA9" s="309"/>
      <c r="AB9" s="309"/>
      <c r="AC9" s="309"/>
      <c r="AD9" s="350"/>
      <c r="AE9" s="1179" t="str">
        <f>IF(D3="", "", IFERROR(IF(COUNTIF(AP:AP,"未入力")=0,"○","×"),""))</f>
        <v>○</v>
      </c>
      <c r="AF9" s="1180"/>
      <c r="AG9" s="1181" t="str">
        <f>IF(D3="", "", IFERROR(IF(COUNTIF(AR:AR,"未入力")=0,"○","×"),""))</f>
        <v>○</v>
      </c>
      <c r="AH9" s="1182"/>
      <c r="AI9" s="351" t="str">
        <f>IF(D3="", "", IFERROR(IF(COUNTIF(AS:AS,"未入力")=0,"○","×"),""))</f>
        <v>○</v>
      </c>
      <c r="AJ9" s="351" t="str">
        <f>IF(D3="", "", IFERROR(IF(COUNTIF(AT:AT,"未入力")=0,"○","×"),""))</f>
        <v>○</v>
      </c>
      <c r="AK9" s="352" t="str">
        <f>IF(D3="", "", IF(AK5&gt;=AK6,"○","×"))</f>
        <v>○</v>
      </c>
      <c r="AL9" s="353" t="str">
        <f>IF(D3="","", IF(COUNTIF(AX:AX,"未入力")=0,"○","×"))</f>
        <v>○</v>
      </c>
      <c r="AM9" s="354" t="s">
        <v>2575</v>
      </c>
      <c r="AN9" s="265"/>
      <c r="AO9" s="355">
        <f>COUNTIF(AI:AI, "令和７年度中に満たす")</f>
        <v>24</v>
      </c>
      <c r="AP9" s="355">
        <f>COUNTIF(AJ:AJ, "令和７年度中に満たす")</f>
        <v>31</v>
      </c>
      <c r="BA9" s="356"/>
      <c r="BB9" s="356"/>
      <c r="BC9" s="356"/>
      <c r="BD9" s="356"/>
      <c r="BE9" s="356"/>
      <c r="BF9" s="356"/>
      <c r="BG9" s="357"/>
    </row>
    <row r="10" spans="1:60" ht="53.25" customHeight="1">
      <c r="A10" s="1217"/>
      <c r="B10" s="1185" t="s">
        <v>345</v>
      </c>
      <c r="C10" s="1186"/>
      <c r="D10" s="1186"/>
      <c r="E10" s="1186"/>
      <c r="F10" s="1187"/>
      <c r="G10" s="1191" t="s">
        <v>36</v>
      </c>
      <c r="H10" s="1193" t="s">
        <v>37</v>
      </c>
      <c r="I10" s="1193"/>
      <c r="J10" s="1194" t="s">
        <v>346</v>
      </c>
      <c r="K10" s="1196" t="s">
        <v>39</v>
      </c>
      <c r="L10" s="1198" t="s">
        <v>347</v>
      </c>
      <c r="M10" s="1173" t="s">
        <v>348</v>
      </c>
      <c r="N10" s="1175" t="s">
        <v>349</v>
      </c>
      <c r="O10" s="1177" t="s">
        <v>350</v>
      </c>
      <c r="P10" s="1219" t="s">
        <v>351</v>
      </c>
      <c r="Q10" s="1215" t="s">
        <v>352</v>
      </c>
      <c r="R10" s="1202" t="s">
        <v>353</v>
      </c>
      <c r="S10" s="1210"/>
      <c r="T10" s="1210"/>
      <c r="U10" s="1210"/>
      <c r="V10" s="1210"/>
      <c r="W10" s="1210"/>
      <c r="X10" s="1210"/>
      <c r="Y10" s="1210"/>
      <c r="Z10" s="1210"/>
      <c r="AA10" s="1210"/>
      <c r="AB10" s="1210"/>
      <c r="AC10" s="1211"/>
      <c r="AD10" s="1202" t="s">
        <v>354</v>
      </c>
      <c r="AE10" s="1204" t="s">
        <v>355</v>
      </c>
      <c r="AF10" s="1205"/>
      <c r="AG10" s="1206" t="s">
        <v>356</v>
      </c>
      <c r="AH10" s="1205"/>
      <c r="AI10" s="358" t="s">
        <v>357</v>
      </c>
      <c r="AJ10" s="358" t="s">
        <v>358</v>
      </c>
      <c r="AK10" s="358" t="s">
        <v>359</v>
      </c>
      <c r="AL10" s="359" t="s">
        <v>360</v>
      </c>
      <c r="AM10" s="1200" t="s">
        <v>361</v>
      </c>
      <c r="AN10" s="360"/>
      <c r="AO10" s="1233" t="s">
        <v>362</v>
      </c>
      <c r="AP10" s="1234"/>
      <c r="AS10" s="92"/>
      <c r="AT10" s="92"/>
      <c r="AU10" s="92"/>
      <c r="AV10" s="92"/>
      <c r="AW10" s="92"/>
      <c r="AX10" s="92"/>
      <c r="AY10" s="92"/>
      <c r="AZ10" s="92"/>
      <c r="BA10" s="92"/>
      <c r="BB10" s="92"/>
      <c r="BH10" s="361"/>
    </row>
    <row r="11" spans="1:60" ht="159.75" customHeight="1" thickBot="1">
      <c r="A11" s="1218"/>
      <c r="B11" s="1188"/>
      <c r="C11" s="1189"/>
      <c r="D11" s="1189"/>
      <c r="E11" s="1189"/>
      <c r="F11" s="1190"/>
      <c r="G11" s="1192"/>
      <c r="H11" s="362" t="s">
        <v>363</v>
      </c>
      <c r="I11" s="362" t="s">
        <v>364</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63" t="s">
        <v>365</v>
      </c>
      <c r="AF11" s="364" t="s">
        <v>366</v>
      </c>
      <c r="AG11" s="364" t="s">
        <v>367</v>
      </c>
      <c r="AH11" s="365" t="s">
        <v>368</v>
      </c>
      <c r="AI11" s="365" t="s">
        <v>369</v>
      </c>
      <c r="AJ11" s="366" t="s">
        <v>370</v>
      </c>
      <c r="AK11" s="366" t="s">
        <v>371</v>
      </c>
      <c r="AL11" s="581" t="s">
        <v>372</v>
      </c>
      <c r="AM11" s="1201"/>
      <c r="AN11" s="367"/>
      <c r="AO11" s="288" t="s">
        <v>373</v>
      </c>
      <c r="AP11" s="368" t="s">
        <v>374</v>
      </c>
      <c r="AQ11" s="288" t="s">
        <v>375</v>
      </c>
      <c r="AR11" s="288" t="s">
        <v>376</v>
      </c>
      <c r="AS11" s="288" t="s">
        <v>377</v>
      </c>
      <c r="AT11" s="288" t="s">
        <v>378</v>
      </c>
      <c r="AU11" s="369" t="s">
        <v>379</v>
      </c>
      <c r="AV11" s="369" t="s">
        <v>380</v>
      </c>
      <c r="AW11" s="369" t="s">
        <v>381</v>
      </c>
      <c r="AX11" s="369" t="s">
        <v>382</v>
      </c>
      <c r="AY11" s="370" t="s">
        <v>383</v>
      </c>
      <c r="AZ11"/>
      <c r="BA11"/>
      <c r="BB11"/>
      <c r="BC11"/>
      <c r="BD11"/>
      <c r="BE11"/>
      <c r="BF11"/>
      <c r="BG11"/>
    </row>
    <row r="12" spans="1:60" ht="30" customHeight="1">
      <c r="A12" s="1156">
        <v>1</v>
      </c>
      <c r="B12" s="1160" t="str">
        <f>IF(基本情報入力シート!B40="","",基本情報入力シート!B40)</f>
        <v>1111111111</v>
      </c>
      <c r="C12" s="1161"/>
      <c r="D12" s="1161"/>
      <c r="E12" s="1161"/>
      <c r="F12" s="1161"/>
      <c r="G12" s="1166" t="str">
        <f>IF(基本情報入力シート!L40="", "", 基本情報入力シート!L40)</f>
        <v>奈良県</v>
      </c>
      <c r="H12" s="1166" t="str">
        <f>IF(基本情報入力シート!Q40="", "", 基本情報入力シート!Q40)</f>
        <v>奈良県</v>
      </c>
      <c r="I12" s="1166" t="str">
        <f>IF(基本情報入力シート!V40="", "", 基本情報入力シート!V40)</f>
        <v>奈良市</v>
      </c>
      <c r="J12" s="1166" t="str">
        <f>IF(基本情報入力シート!W40="", "", 基本情報入力シート!W40)</f>
        <v>○○ホームヘルプ</v>
      </c>
      <c r="K12" s="1166" t="str">
        <f>IF(基本情報入力シート!X40="", "", 基本情報入力シート!X40)</f>
        <v>訪問介護</v>
      </c>
      <c r="L12" s="1115">
        <f>IF(基本情報入力シート!AC40=0, "",基本情報入力シート!AC40)</f>
        <v>750000</v>
      </c>
      <c r="M12" s="1230">
        <f>IF(AND(基本情報入力シート!B40="",基本情報入力シート!AD40=""), "", 基本情報入力シート!AD40)</f>
        <v>10.42</v>
      </c>
      <c r="N12" s="1076" t="s">
        <v>384</v>
      </c>
      <c r="O12" s="1061">
        <f>IFERROR(VLOOKUP(K12,【参考】数式用２!$A$2:$AD$48,MATCH(N12,【参考】数式用２!$C$4:$AD$4,0)+2,0),"")</f>
        <v>0.245</v>
      </c>
      <c r="P12" s="1144" t="s">
        <v>384</v>
      </c>
      <c r="Q12" s="1147">
        <f>IFERROR(VLOOKUP(K12,【参考】数式用２!$A$2:$AC$48,MATCH(P12,【参考】数式用２!$C$4:$AC$4,0)+2,0),"")</f>
        <v>0.245</v>
      </c>
      <c r="R12" s="1150" t="s">
        <v>301</v>
      </c>
      <c r="S12" s="1153">
        <v>7</v>
      </c>
      <c r="T12" s="1070" t="s">
        <v>385</v>
      </c>
      <c r="U12" s="1153">
        <v>4</v>
      </c>
      <c r="V12" s="1070" t="s">
        <v>386</v>
      </c>
      <c r="W12" s="1153">
        <v>8</v>
      </c>
      <c r="X12" s="1070" t="s">
        <v>385</v>
      </c>
      <c r="Y12" s="1153">
        <v>3</v>
      </c>
      <c r="Z12" s="1070" t="s">
        <v>387</v>
      </c>
      <c r="AA12" s="1070" t="s">
        <v>209</v>
      </c>
      <c r="AB12" s="1070">
        <f>IF(S12&gt;=1,(W12*12+Y12)-(S12*12+U12)+1,"")</f>
        <v>12</v>
      </c>
      <c r="AC12" s="1073" t="s">
        <v>388</v>
      </c>
      <c r="AD12" s="1064">
        <f>IFERROR(ROUNDDOWN(ROUND(L12*Q12,0)*M12,0)*AB12,"")</f>
        <v>22976100</v>
      </c>
      <c r="AE12" s="1067">
        <f>IFERROR(ROUNDDOWN(ROUNDDOWN(ROUND(L12*VLOOKUP(K12,【参考】数式用２!$A$2:$AC$48,MATCH("処遇改善加算Ⅳ",【参考】数式用２!$C$4:$O$4,0)+2,0),0)*M12,0)*AB12*0.5,0), "")</f>
        <v>6799050</v>
      </c>
      <c r="AF12" s="1130" t="s">
        <v>2653</v>
      </c>
      <c r="AG12" s="1064" t="str">
        <f>IF(AND(AQ12&lt;&gt;"対象外", P12&lt;&gt;""),ROUNDDOWN(ROUND(L12*VLOOKUP(K12,【参考】数式用２!$A$2:$K$48,MATCH("ベア加算あり",【参考】数式用２!$C$4:$K$4,0)+2,0),0)*M12,0)*AB12,"")</f>
        <v/>
      </c>
      <c r="AH12" s="1133"/>
      <c r="AI12" s="1130" t="s">
        <v>389</v>
      </c>
      <c r="AJ12" s="1130" t="s">
        <v>389</v>
      </c>
      <c r="AK12" s="1136">
        <v>1</v>
      </c>
      <c r="AL12" s="1139" t="s">
        <v>390</v>
      </c>
      <c r="AM12" s="681" t="str">
        <f>IF(Q12="","",IF(Q12&lt;O12,"！加算の要件上は問題ありませんが、令和６年度末の加算率と比較して、令和７年度の加算率が低くなっています。",""))</f>
        <v/>
      </c>
      <c r="AN12" s="371"/>
      <c r="AO12" s="1125" t="str">
        <f>IF(K12&lt;&gt;"","Q列に色付け","")</f>
        <v>Q列に色付け</v>
      </c>
      <c r="AP12" s="1142" t="str">
        <f>IF(AND(AE12&lt;&gt;0,AE12&lt;&gt;""),IF(AF12="○","入力済","未入力"),"")</f>
        <v>入力済</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対象</v>
      </c>
      <c r="AV12" s="843">
        <f>IF(AND(P12&lt;&gt;"処遇改善加算Ⅲ",P12&lt;&gt;"処遇改善加算Ⅳ", P12&lt;&gt;"", AU12&lt;&gt;"対象外"), 1,"")</f>
        <v>1</v>
      </c>
      <c r="AW12" s="843" t="str">
        <f>IFERROR("_"&amp;VLOOKUP(K12, 【参考】数式用２!$AG$2:$AH$48, 2, FALSE), "")</f>
        <v>_11</v>
      </c>
      <c r="AX12" s="1143" t="str">
        <f>IF(AND(P12="処遇改善加算Ⅰ", AL12=""), "未入力","入力済")</f>
        <v>入力済</v>
      </c>
      <c r="AY12" s="1126" t="str">
        <f>G12</f>
        <v>奈良県</v>
      </c>
      <c r="AZ12"/>
      <c r="BA12"/>
      <c r="BB12"/>
      <c r="BC12"/>
      <c r="BD12"/>
      <c r="BE12"/>
      <c r="BF12"/>
      <c r="BG12" s="373"/>
    </row>
    <row r="13" spans="1:60" ht="14.4"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1"/>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71"/>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68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1"/>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2222222222</v>
      </c>
      <c r="C16" s="1110"/>
      <c r="D16" s="1110"/>
      <c r="E16" s="1110"/>
      <c r="F16" s="1110"/>
      <c r="G16" s="1110" t="str">
        <f>IF(基本情報入力シート!L41="", "",基本情報入力シート!L41)</f>
        <v>大阪府</v>
      </c>
      <c r="H16" s="1110" t="str">
        <f>IF(基本情報入力シート!Q41="", "",基本情報入力シート!Q41)</f>
        <v>大阪府</v>
      </c>
      <c r="I16" s="1110" t="str">
        <f>IF(基本情報入力シート!V41="", "",基本情報入力シート!V41)</f>
        <v>千早赤阪村</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229">
        <f>IF(基本情報入力シート!AD41="", "",基本情報入力シート!AD41)</f>
        <v>10.42</v>
      </c>
      <c r="N16" s="1076" t="s">
        <v>391</v>
      </c>
      <c r="O16" s="1061">
        <f>IFERROR(VLOOKUP(K16,【参考】数式用２!$A$2:$AD$48,MATCH(N16,【参考】数式用２!$C$4:$AD$4,0)+2,0),"")</f>
        <v>0.224</v>
      </c>
      <c r="P16" s="1144" t="s">
        <v>391</v>
      </c>
      <c r="Q16" s="1147">
        <f>IFERROR(VLOOKUP(K16,【参考】数式用２!$A$2:$AC$48,MATCH(P16,【参考】数式用２!$C$4:$AC$4,0)+2,0),"")</f>
        <v>0.224</v>
      </c>
      <c r="R16" s="1150" t="s">
        <v>301</v>
      </c>
      <c r="S16" s="1153">
        <v>7</v>
      </c>
      <c r="T16" s="1070" t="s">
        <v>385</v>
      </c>
      <c r="U16" s="1153">
        <v>4</v>
      </c>
      <c r="V16" s="1070" t="s">
        <v>386</v>
      </c>
      <c r="W16" s="1153">
        <v>8</v>
      </c>
      <c r="X16" s="1070" t="s">
        <v>385</v>
      </c>
      <c r="Y16" s="1153">
        <v>3</v>
      </c>
      <c r="Z16" s="1070" t="s">
        <v>387</v>
      </c>
      <c r="AA16" s="1070" t="s">
        <v>209</v>
      </c>
      <c r="AB16" s="1070">
        <f>IF(S16&gt;=1,(W16*12+Y16)-(S16*12+U16)+1,"")</f>
        <v>12</v>
      </c>
      <c r="AC16" s="1073" t="s">
        <v>388</v>
      </c>
      <c r="AD16" s="1064">
        <f>IFERROR(ROUNDDOWN(ROUND(L16*Q16,0)*M16,0)*AB16,"")</f>
        <v>21006720</v>
      </c>
      <c r="AE16" s="1067">
        <f>IFERROR(ROUNDDOWN(ROUNDDOWN(ROUND(L16*VLOOKUP(K16,【参考】数式用２!$A$2:$AC$48,MATCH("処遇改善加算Ⅳ",【参考】数式用２!$C$4:$O$4,0)+2,0),0)*M16,0)*AB16*0.5,0), "")</f>
        <v>6799050</v>
      </c>
      <c r="AF16" s="1130" t="s">
        <v>2653</v>
      </c>
      <c r="AG16" s="1064" t="str">
        <f>IF(AND(AQ16&lt;&gt;"対象外", P16&lt;&gt;""),ROUNDDOWN(ROUND(L16*VLOOKUP(K16,【参考】数式用２!$A$2:$K$48,MATCH("ベア加算あり",【参考】数式用２!$C$4:$K$4,0)+2,0),0)*M16,0)*AB16,"")</f>
        <v/>
      </c>
      <c r="AH16" s="1133"/>
      <c r="AI16" s="1130" t="s">
        <v>389</v>
      </c>
      <c r="AJ16" s="1130" t="s">
        <v>389</v>
      </c>
      <c r="AK16" s="1136">
        <v>1</v>
      </c>
      <c r="AL16" s="1139"/>
      <c r="AM16" s="681" t="str">
        <f>IF(Q16="","",IF(Q16&lt;O16,"！加算の要件上は問題ありませんが、令和６年度末の加算率と比較して、令和７年度の加算率が低くなっています。",""))</f>
        <v/>
      </c>
      <c r="AN16" s="371"/>
      <c r="AO16" s="1125" t="str">
        <f>IF(K16&lt;&gt;"","Q列に色付け","")</f>
        <v>Q列に色付け</v>
      </c>
      <c r="AP16" s="1142" t="str">
        <f>IF(AND(AE16&lt;&gt;0,AE16&lt;&gt;""),IF(AF16="○","入力済","未入力"),"")</f>
        <v>入力済</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対象</v>
      </c>
      <c r="AV16" s="843">
        <f>IF(AND(P16&lt;&gt;"処遇改善加算Ⅲ",P16&lt;&gt;"処遇改善加算Ⅳ", P16&lt;&gt;"", AU16&lt;&gt;"対象外"), 1,"")</f>
        <v>1</v>
      </c>
      <c r="AW16" s="843" t="str">
        <f>IFERROR("_"&amp;VLOOKUP(K16, 【参考】数式用２!$AG$2:$AH$48, 2, FALSE), "")</f>
        <v>_11</v>
      </c>
      <c r="AX16" s="1143" t="str">
        <f>IF(AND(P16="処遇改善加算Ⅰ", AL16=""), "未入力","入力済")</f>
        <v>入力済</v>
      </c>
      <c r="AY16" s="1125" t="str">
        <f>G16</f>
        <v>大阪府</v>
      </c>
      <c r="AZ16"/>
      <c r="BA16"/>
      <c r="BB16"/>
      <c r="BC16"/>
      <c r="BD16"/>
      <c r="BE16"/>
      <c r="BF16"/>
      <c r="BG16"/>
    </row>
    <row r="17" spans="1:59" ht="14.4">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1"/>
      <c r="AO17" s="1126"/>
      <c r="AP17" s="1142"/>
      <c r="AQ17" s="981"/>
      <c r="AR17" s="843"/>
      <c r="AS17" s="843"/>
      <c r="AT17" s="843"/>
      <c r="AU17" s="843"/>
      <c r="AV17" s="843"/>
      <c r="AW17" s="843"/>
      <c r="AX17" s="1143"/>
      <c r="AY17" s="1126"/>
      <c r="AZ17"/>
      <c r="BA17"/>
      <c r="BB17"/>
      <c r="BC17"/>
      <c r="BD17"/>
      <c r="BE17"/>
      <c r="BF17"/>
      <c r="BG17"/>
    </row>
    <row r="18" spans="1:59" ht="14.4">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71"/>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682"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1"/>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3333333333</v>
      </c>
      <c r="C20" s="1110"/>
      <c r="D20" s="1110"/>
      <c r="E20" s="1110"/>
      <c r="F20" s="1110"/>
      <c r="G20" s="1110" t="str">
        <f>IF(基本情報入力シート!L42="", "",基本情報入力シート!L42)</f>
        <v>京都府</v>
      </c>
      <c r="H20" s="1110" t="str">
        <f>IF(基本情報入力シート!Q42="", "",基本情報入力シート!Q42)</f>
        <v>京都府</v>
      </c>
      <c r="I20" s="1110" t="str">
        <f>IF(基本情報入力シート!V42="", "",基本情報入力シート!V42)</f>
        <v>与謝野町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10</v>
      </c>
      <c r="N20" s="1076" t="s">
        <v>392</v>
      </c>
      <c r="O20" s="1061">
        <f>IFERROR(VLOOKUP(K20,【参考】数式用２!$A$2:$AD$48,MATCH(N20,【参考】数式用２!$C$4:$AD$4,0)+2,0),"")</f>
        <v>0.182</v>
      </c>
      <c r="P20" s="1144" t="s">
        <v>392</v>
      </c>
      <c r="Q20" s="1147">
        <f>IFERROR(VLOOKUP(K20,【参考】数式用２!$A$2:$AC$48,MATCH(P20,【参考】数式用２!$C$4:$AC$4,0)+2,0),"")</f>
        <v>0.182</v>
      </c>
      <c r="R20" s="1150" t="s">
        <v>301</v>
      </c>
      <c r="S20" s="1153">
        <v>7</v>
      </c>
      <c r="T20" s="1070" t="s">
        <v>385</v>
      </c>
      <c r="U20" s="1153">
        <v>4</v>
      </c>
      <c r="V20" s="1070" t="s">
        <v>386</v>
      </c>
      <c r="W20" s="1153">
        <v>8</v>
      </c>
      <c r="X20" s="1070" t="s">
        <v>385</v>
      </c>
      <c r="Y20" s="1153">
        <v>3</v>
      </c>
      <c r="Z20" s="1070" t="s">
        <v>387</v>
      </c>
      <c r="AA20" s="1070" t="s">
        <v>209</v>
      </c>
      <c r="AB20" s="1070">
        <f>IF(S20&gt;=1,(W20*12+Y20)-(S20*12+U20)+1,"")</f>
        <v>12</v>
      </c>
      <c r="AC20" s="1073" t="s">
        <v>388</v>
      </c>
      <c r="AD20" s="1064">
        <f>IFERROR(ROUNDDOWN(ROUND(L20*Q20,0)*M20,0)*AB20,"")</f>
        <v>16380000</v>
      </c>
      <c r="AE20" s="1067">
        <f>IFERROR(ROUNDDOWN(ROUNDDOWN(ROUND(L20*VLOOKUP(K20,【参考】数式用２!$A$2:$AC$48,MATCH("処遇改善加算Ⅳ",【参考】数式用２!$C$4:$O$4,0)+2,0),0)*M20,0)*AB20*0.5,0), "")</f>
        <v>6525000</v>
      </c>
      <c r="AF20" s="1130" t="s">
        <v>2653</v>
      </c>
      <c r="AG20" s="1064" t="str">
        <f>IF(AND(AQ20&lt;&gt;"対象外", P20&lt;&gt;""),ROUNDDOWN(ROUND(L20*VLOOKUP(K20,【参考】数式用２!$A$2:$K$48,MATCH("ベア加算あり",【参考】数式用２!$C$4:$K$4,0)+2,0),0)*M20,0)*AB20,"")</f>
        <v/>
      </c>
      <c r="AH20" s="1133"/>
      <c r="AI20" s="1130" t="s">
        <v>2653</v>
      </c>
      <c r="AJ20" s="1130" t="s">
        <v>2653</v>
      </c>
      <c r="AK20" s="1136"/>
      <c r="AL20" s="1139"/>
      <c r="AM20" s="681" t="str">
        <f>IF(Q20="","",IF(Q20&lt;O20,"！加算の要件上は問題ありませんが、令和６年度末の加算率と比較して、令和７年度の加算率が低くなっています。",""))</f>
        <v/>
      </c>
      <c r="AN20" s="371"/>
      <c r="AO20" s="1125" t="str">
        <f>IF(K20&lt;&gt;"","Q列に色付け","")</f>
        <v>Q列に色付け</v>
      </c>
      <c r="AP20" s="1142" t="str">
        <f>IF(AND(AE20&lt;&gt;0,AE20&lt;&gt;""),IF(AF20="○","入力済","未入力"),"")</f>
        <v>入力済</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対象</v>
      </c>
      <c r="AV20" s="843" t="str">
        <f>IF(AND(P20&lt;&gt;"処遇改善加算Ⅲ",P20&lt;&gt;"処遇改善加算Ⅳ", P20&lt;&gt;"", AU20&lt;&gt;"対象外"), 1,"")</f>
        <v/>
      </c>
      <c r="AW20" s="843" t="str">
        <f>IFERROR("_"&amp;VLOOKUP(K20, 【参考】数式用２!$AG$2:$AH$48, 2, FALSE), "")</f>
        <v>_11</v>
      </c>
      <c r="AX20" s="1143" t="str">
        <f>IF(AND(P20="処遇改善加算Ⅰ", AL20=""), "未入力","入力済")</f>
        <v>入力済</v>
      </c>
      <c r="AY20" s="1125" t="str">
        <f>G20</f>
        <v>京都府</v>
      </c>
      <c r="AZ20"/>
      <c r="BA20"/>
      <c r="BB20"/>
      <c r="BC20"/>
      <c r="BD20"/>
      <c r="BE20"/>
      <c r="BF20"/>
      <c r="BG20"/>
    </row>
    <row r="21" spans="1:59" ht="14.4">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1"/>
      <c r="AO21" s="1126"/>
      <c r="AP21" s="1142"/>
      <c r="AQ21" s="981"/>
      <c r="AR21" s="843"/>
      <c r="AS21" s="843"/>
      <c r="AT21" s="843"/>
      <c r="AU21" s="843"/>
      <c r="AV21" s="843"/>
      <c r="AW21" s="843"/>
      <c r="AX21" s="1143"/>
      <c r="AY21" s="1126"/>
      <c r="AZ21"/>
      <c r="BA21"/>
      <c r="BB21"/>
      <c r="BC21"/>
      <c r="BD21"/>
      <c r="BE21"/>
      <c r="BF21"/>
      <c r="BG21"/>
    </row>
    <row r="22" spans="1:59" ht="14.4">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71"/>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682"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1"/>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4444444444</v>
      </c>
      <c r="C24" s="1110"/>
      <c r="D24" s="1110"/>
      <c r="E24" s="1110"/>
      <c r="F24" s="1110"/>
      <c r="G24" s="1110" t="str">
        <f>IF(基本情報入力シート!L43="", "",基本情報入力シート!L43)</f>
        <v>奈良市</v>
      </c>
      <c r="H24" s="1110" t="str">
        <f>IF(基本情報入力シート!Q43="", "",基本情報入力シート!Q43)</f>
        <v>奈良県</v>
      </c>
      <c r="I24" s="1110" t="str">
        <f>IF(基本情報入力シート!V43="", "",基本情報入力シート!V43)</f>
        <v>奈良市</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10.42</v>
      </c>
      <c r="N24" s="1076" t="s">
        <v>393</v>
      </c>
      <c r="O24" s="1061">
        <f>IFERROR(VLOOKUP(K24,【参考】数式用２!$A$2:$AD$48,MATCH(N24,【参考】数式用２!$C$4:$AD$4,0)+2,0),"")</f>
        <v>0.14499999999999999</v>
      </c>
      <c r="P24" s="1144" t="s">
        <v>393</v>
      </c>
      <c r="Q24" s="1147">
        <f>IFERROR(VLOOKUP(K24,【参考】数式用２!$A$2:$AC$48,MATCH(P24,【参考】数式用２!$C$4:$AC$4,0)+2,0),"")</f>
        <v>0.14499999999999999</v>
      </c>
      <c r="R24" s="1150" t="s">
        <v>301</v>
      </c>
      <c r="S24" s="1153">
        <v>7</v>
      </c>
      <c r="T24" s="1070" t="s">
        <v>385</v>
      </c>
      <c r="U24" s="1153">
        <v>4</v>
      </c>
      <c r="V24" s="1070" t="s">
        <v>386</v>
      </c>
      <c r="W24" s="1153">
        <v>8</v>
      </c>
      <c r="X24" s="1070" t="s">
        <v>385</v>
      </c>
      <c r="Y24" s="1153">
        <v>3</v>
      </c>
      <c r="Z24" s="1070" t="s">
        <v>387</v>
      </c>
      <c r="AA24" s="1070" t="s">
        <v>209</v>
      </c>
      <c r="AB24" s="1070">
        <f>IF(S24&gt;=1,(W24*12+Y24)-(S24*12+U24)+1,"")</f>
        <v>12</v>
      </c>
      <c r="AC24" s="1073" t="s">
        <v>388</v>
      </c>
      <c r="AD24" s="1064">
        <f>IFERROR(ROUNDDOWN(ROUND(L24*Q24,0)*M24,0)*AB24,"")</f>
        <v>13598100</v>
      </c>
      <c r="AE24" s="1067">
        <f>IFERROR(ROUNDDOWN(ROUNDDOWN(ROUND(L24*VLOOKUP(K24,【参考】数式用２!$A$2:$AC$48,MATCH("処遇改善加算Ⅳ",【参考】数式用２!$C$4:$O$4,0)+2,0),0)*M24,0)*AB24*0.5,0), "")</f>
        <v>6799050</v>
      </c>
      <c r="AF24" s="1130" t="s">
        <v>2653</v>
      </c>
      <c r="AG24" s="1064" t="str">
        <f>IF(AND(AQ24&lt;&gt;"対象外", P24&lt;&gt;""),ROUNDDOWN(ROUND(L24*VLOOKUP(K24,【参考】数式用２!$A$2:$K$48,MATCH("ベア加算あり",【参考】数式用２!$C$4:$K$4,0)+2,0),0)*M24,0)*AB24,"")</f>
        <v/>
      </c>
      <c r="AH24" s="1133"/>
      <c r="AI24" s="1130" t="s">
        <v>2653</v>
      </c>
      <c r="AJ24" s="1130"/>
      <c r="AK24" s="1136"/>
      <c r="AL24" s="1139"/>
      <c r="AM24" s="681" t="str">
        <f>IF(Q24="","",IF(Q24&lt;O24,"！加算の要件上は問題ありませんが、令和６年度末の加算率と比較して、令和７年度の加算率が低くなっています。",""))</f>
        <v/>
      </c>
      <c r="AN24" s="371"/>
      <c r="AO24" s="1125" t="str">
        <f>IF(K24&lt;&gt;"","Q列に色付け","")</f>
        <v>Q列に色付け</v>
      </c>
      <c r="AP24" s="1142" t="str">
        <f>IF(AND(AE24&lt;&gt;0,AE24&lt;&gt;""),IF(AF24="○","入力済","未入力"),"")</f>
        <v>入力済</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対象</v>
      </c>
      <c r="AV24" s="843" t="str">
        <f>IF(AND(P24&lt;&gt;"処遇改善加算Ⅲ",P24&lt;&gt;"処遇改善加算Ⅳ", P24&lt;&gt;"", AU24&lt;&gt;"対象外"), 1,"")</f>
        <v/>
      </c>
      <c r="AW24" s="843" t="str">
        <f>IFERROR("_"&amp;VLOOKUP(K24, 【参考】数式用２!$AG$2:$AH$48, 2, FALSE), "")</f>
        <v>_11</v>
      </c>
      <c r="AX24" s="1143" t="str">
        <f>IF(AND(P24="処遇改善加算Ⅰ", AL24=""), "未入力","入力済")</f>
        <v>入力済</v>
      </c>
      <c r="AY24" s="1125" t="str">
        <f>G24</f>
        <v>奈良市</v>
      </c>
      <c r="AZ24"/>
      <c r="BA24"/>
      <c r="BB24"/>
      <c r="BC24"/>
      <c r="BD24"/>
      <c r="BE24"/>
      <c r="BF24"/>
      <c r="BG24"/>
    </row>
    <row r="25" spans="1:59" ht="14.4">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1"/>
      <c r="AO25" s="1126"/>
      <c r="AP25" s="1142"/>
      <c r="AQ25" s="981"/>
      <c r="AR25" s="843"/>
      <c r="AS25" s="843"/>
      <c r="AT25" s="843"/>
      <c r="AU25" s="843"/>
      <c r="AV25" s="843"/>
      <c r="AW25" s="843"/>
      <c r="AX25" s="1143"/>
      <c r="AY25" s="1126"/>
      <c r="AZ25"/>
      <c r="BA25"/>
      <c r="BB25"/>
      <c r="BC25"/>
      <c r="BD25"/>
      <c r="BE25"/>
      <c r="BF25"/>
      <c r="BG25"/>
    </row>
    <row r="26" spans="1:59" ht="14.4">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71"/>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682"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1"/>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1111111111</v>
      </c>
      <c r="C28" s="1110"/>
      <c r="D28" s="1110"/>
      <c r="E28" s="1110"/>
      <c r="F28" s="1110"/>
      <c r="G28" s="1110" t="str">
        <f>IF(基本情報入力シート!L44="", "",基本情報入力シート!L44)</f>
        <v>大和高田市</v>
      </c>
      <c r="H28" s="1110" t="str">
        <f>IF(基本情報入力シート!Q44="", "",基本情報入力シート!Q44)</f>
        <v>奈良県</v>
      </c>
      <c r="I28" s="1110" t="str">
        <f>IF(基本情報入力シート!V44="", "",基本情報入力シート!V44)</f>
        <v>大和高田市</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10.210000000000001</v>
      </c>
      <c r="N28" s="1076" t="s">
        <v>394</v>
      </c>
      <c r="O28" s="1061">
        <f>IFERROR(VLOOKUP(K28,【参考】数式用２!$A$2:$AD$48,MATCH(N28,【参考】数式用２!$C$4:$AD$4,0)+2,0),"")</f>
        <v>0.221</v>
      </c>
      <c r="P28" s="1144" t="s">
        <v>384</v>
      </c>
      <c r="Q28" s="1147">
        <f>IFERROR(VLOOKUP(K28,【参考】数式用２!$A$2:$AC$48,MATCH(P28,【参考】数式用２!$C$4:$AC$4,0)+2,0),"")</f>
        <v>0.245</v>
      </c>
      <c r="R28" s="1150" t="s">
        <v>301</v>
      </c>
      <c r="S28" s="1153">
        <v>7</v>
      </c>
      <c r="T28" s="1070" t="s">
        <v>385</v>
      </c>
      <c r="U28" s="1153">
        <v>4</v>
      </c>
      <c r="V28" s="1070" t="s">
        <v>386</v>
      </c>
      <c r="W28" s="1153">
        <v>8</v>
      </c>
      <c r="X28" s="1070" t="s">
        <v>385</v>
      </c>
      <c r="Y28" s="1153">
        <v>3</v>
      </c>
      <c r="Z28" s="1070" t="s">
        <v>387</v>
      </c>
      <c r="AA28" s="1070" t="s">
        <v>209</v>
      </c>
      <c r="AB28" s="1070">
        <f>IF(S28&gt;=1,(W28*12+Y28)-(S28*12+U28)+1,"")</f>
        <v>12</v>
      </c>
      <c r="AC28" s="1073" t="s">
        <v>388</v>
      </c>
      <c r="AD28" s="1064">
        <f>IFERROR(ROUNDDOWN(ROUND(L28*Q28,0)*M28,0)*AB28,"")</f>
        <v>22513044</v>
      </c>
      <c r="AE28" s="1067">
        <f>IFERROR(ROUNDDOWN(ROUNDDOWN(ROUND(L28*VLOOKUP(K28,【参考】数式用２!$A$2:$AC$48,MATCH("処遇改善加算Ⅳ",【参考】数式用２!$C$4:$O$4,0)+2,0),0)*M28,0)*AB28*0.5,0), "")</f>
        <v>6662022</v>
      </c>
      <c r="AF28" s="1130" t="s">
        <v>2653</v>
      </c>
      <c r="AG28" s="1064">
        <f>IF(AND(AQ28&lt;&gt;"対象外", P28&lt;&gt;""),ROUNDDOWN(ROUND(L28*VLOOKUP(K28,【参考】数式用２!$A$2:$K$48,MATCH("ベア加算あり",【参考】数式用２!$C$4:$K$4,0)+2,0),0)*M28,0)*AB28,"")</f>
        <v>2205360</v>
      </c>
      <c r="AH28" s="1133" t="s">
        <v>2653</v>
      </c>
      <c r="AI28" s="1130" t="s">
        <v>389</v>
      </c>
      <c r="AJ28" s="1130" t="s">
        <v>389</v>
      </c>
      <c r="AK28" s="1136">
        <v>1</v>
      </c>
      <c r="AL28" s="1139" t="s">
        <v>395</v>
      </c>
      <c r="AM28" s="681" t="str">
        <f>IF(Q28="","",IF(Q28&lt;O28,"！加算の要件上は問題ありませんが、令和６年度末の加算率と比較して、令和７年度の加算率が低くなっています。",""))</f>
        <v/>
      </c>
      <c r="AN28" s="371"/>
      <c r="AO28" s="1125" t="str">
        <f>IF(K28&lt;&gt;"","Q列に色付け","")</f>
        <v>Q列に色付け</v>
      </c>
      <c r="AP28" s="1142" t="str">
        <f>IF(AND(AE28&lt;&gt;0,AE28&lt;&gt;""),IF(AF28="○","入力済","未入力"),"")</f>
        <v>入力済</v>
      </c>
      <c r="AQ28" s="980" t="str">
        <f>IFERROR((VLOOKUP(N28, 【参考】数式用２!$BE$5:$BE$13, 1,FALSE)), "対象外")</f>
        <v>処遇改善加算Ⅴ（１）</v>
      </c>
      <c r="AR28" s="843" t="str">
        <f>IF(AG28&lt;&gt;"",IF(AH28="○","入力済","未入力"),"")</f>
        <v>入力済</v>
      </c>
      <c r="AS28" s="843" t="str">
        <f>IF(AND(P28&lt;&gt;"", AI28=""), "未入力", "入力済")</f>
        <v>入力済</v>
      </c>
      <c r="AT28" s="843" t="str">
        <f>IF(AND(P28&lt;&gt;"", P28&lt;&gt;"処遇改善加算Ⅳ", AJ28=""), "未入力", "入力済")</f>
        <v>入力済</v>
      </c>
      <c r="AU28" s="843" t="str">
        <f>IFERROR(VLOOKUP(K28, 【参考】数式用２!$BB$5:$BC$48, 2, FALSE), "")</f>
        <v>対象</v>
      </c>
      <c r="AV28" s="843">
        <f>IF(AND(P28&lt;&gt;"処遇改善加算Ⅲ",P28&lt;&gt;"処遇改善加算Ⅳ", P28&lt;&gt;"", AU28&lt;&gt;"対象外"), 1,"")</f>
        <v>1</v>
      </c>
      <c r="AW28" s="843" t="str">
        <f>IFERROR("_"&amp;VLOOKUP(K28, 【参考】数式用２!$AG$2:$AH$48, 2, FALSE), "")</f>
        <v>_71</v>
      </c>
      <c r="AX28" s="1143" t="str">
        <f>IF(AND(P28="処遇改善加算Ⅰ", AL28=""), "未入力","入力済")</f>
        <v>入力済</v>
      </c>
      <c r="AY28" s="1125" t="str">
        <f>G28</f>
        <v>大和高田市</v>
      </c>
      <c r="AZ28"/>
      <c r="BA28"/>
      <c r="BB28"/>
      <c r="BC28"/>
      <c r="BD28"/>
      <c r="BE28"/>
      <c r="BF28"/>
      <c r="BG28"/>
    </row>
    <row r="29" spans="1:59" ht="14.4">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1"/>
      <c r="AO29" s="1126"/>
      <c r="AP29" s="1142"/>
      <c r="AQ29" s="981"/>
      <c r="AR29" s="843"/>
      <c r="AS29" s="843"/>
      <c r="AT29" s="843"/>
      <c r="AU29" s="843"/>
      <c r="AV29" s="843"/>
      <c r="AW29" s="843"/>
      <c r="AX29" s="1143"/>
      <c r="AY29" s="1126"/>
      <c r="AZ29"/>
      <c r="BA29"/>
      <c r="BB29"/>
      <c r="BC29"/>
      <c r="BD29"/>
      <c r="BE29"/>
      <c r="BF29"/>
      <c r="BG29"/>
    </row>
    <row r="30" spans="1:59" ht="14.4">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71"/>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682"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1"/>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1111111112</v>
      </c>
      <c r="C32" s="1124"/>
      <c r="D32" s="1124"/>
      <c r="E32" s="1124"/>
      <c r="F32" s="1124"/>
      <c r="G32" s="1124" t="str">
        <f>IF(基本情報入力シート!L45="", "",基本情報入力シート!L45)</f>
        <v>大和郡山市</v>
      </c>
      <c r="H32" s="1124" t="str">
        <f>IF(基本情報入力シート!Q45="", "",基本情報入力シート!Q45)</f>
        <v>奈良県</v>
      </c>
      <c r="I32" s="1124" t="str">
        <f>IF(基本情報入力シート!V45="", "",基本情報入力シート!V45)</f>
        <v>大和郡山市</v>
      </c>
      <c r="J32" s="1124" t="str">
        <f>IF(基本情報入力シート!W45="", "",基本情報入力シート!W45)</f>
        <v>○○定巡</v>
      </c>
      <c r="K32" s="1124"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10.42</v>
      </c>
      <c r="N32" s="1076" t="s">
        <v>396</v>
      </c>
      <c r="O32" s="1061">
        <f>IFERROR(VLOOKUP(K32,【参考】数式用２!$A$2:$AD$48,MATCH(N32,【参考】数式用２!$C$4:$AD$4,0)+2,0),"")</f>
        <v>0.20799999999999999</v>
      </c>
      <c r="P32" s="1144" t="s">
        <v>384</v>
      </c>
      <c r="Q32" s="1147">
        <f>IFERROR(VLOOKUP(K32,【参考】数式用２!$A$2:$AC$48,MATCH(P32,【参考】数式用２!$C$4:$AC$4,0)+2,0),"")</f>
        <v>0.245</v>
      </c>
      <c r="R32" s="1150" t="s">
        <v>301</v>
      </c>
      <c r="S32" s="1153">
        <v>7</v>
      </c>
      <c r="T32" s="1070" t="s">
        <v>385</v>
      </c>
      <c r="U32" s="1153">
        <v>4</v>
      </c>
      <c r="V32" s="1070" t="s">
        <v>386</v>
      </c>
      <c r="W32" s="1153">
        <v>8</v>
      </c>
      <c r="X32" s="1070" t="s">
        <v>385</v>
      </c>
      <c r="Y32" s="1153">
        <v>3</v>
      </c>
      <c r="Z32" s="1070" t="s">
        <v>387</v>
      </c>
      <c r="AA32" s="1070" t="s">
        <v>209</v>
      </c>
      <c r="AB32" s="1070">
        <f>IF(S32&gt;=1,(W32*12+Y32)-(S32*12+U32)+1,"")</f>
        <v>12</v>
      </c>
      <c r="AC32" s="1073" t="s">
        <v>388</v>
      </c>
      <c r="AD32" s="1064">
        <f>IFERROR(ROUNDDOWN(ROUND(L32*Q32,0)*M32,0)*AB32,"")</f>
        <v>22976100</v>
      </c>
      <c r="AE32" s="1067">
        <f>IFERROR(ROUNDDOWN(ROUNDDOWN(ROUND(L32*VLOOKUP(K32,【参考】数式用２!$A$2:$AC$48,MATCH("処遇改善加算Ⅳ",【参考】数式用２!$C$4:$O$4,0)+2,0),0)*M32,0)*AB32*0.5,0), "")</f>
        <v>6799050</v>
      </c>
      <c r="AF32" s="1130" t="s">
        <v>2653</v>
      </c>
      <c r="AG32" s="1064" t="str">
        <f>IF(AND(AQ32&lt;&gt;"対象外", P32&lt;&gt;""),ROUNDDOWN(ROUND(L32*VLOOKUP(K32,【参考】数式用２!$A$2:$K$48,MATCH("ベア加算あり",【参考】数式用２!$C$4:$K$4,0)+2,0),0)*M32,0)*AB32,"")</f>
        <v/>
      </c>
      <c r="AH32" s="1133"/>
      <c r="AI32" s="1130" t="s">
        <v>389</v>
      </c>
      <c r="AJ32" s="1130" t="s">
        <v>389</v>
      </c>
      <c r="AK32" s="1136">
        <v>1</v>
      </c>
      <c r="AL32" s="1139" t="s">
        <v>397</v>
      </c>
      <c r="AM32" s="681" t="str">
        <f>IF(Q32="","",IF(Q32&lt;O32,"！加算の要件上は問題ありませんが、令和６年度末の加算率と比較して、令和７年度の加算率が低くなっています。",""))</f>
        <v/>
      </c>
      <c r="AN32" s="371"/>
      <c r="AO32" s="1126" t="str">
        <f>IF(K32&lt;&gt;"","Q列に色付け","")</f>
        <v>Q列に色付け</v>
      </c>
      <c r="AP32" s="1142" t="str">
        <f>IF(AND(AE32&lt;&gt;0,AE32&lt;&gt;""),IF(AF32="○","入力済","未入力"),"")</f>
        <v>入力済</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f>IF(AND(P32&lt;&gt;"処遇改善加算Ⅲ",P32&lt;&gt;"処遇改善加算Ⅳ", P32&lt;&gt;"", AU32&lt;&gt;"対象外"), 1,"")</f>
        <v>1</v>
      </c>
      <c r="AW32" s="843" t="str">
        <f>IFERROR("_"&amp;VLOOKUP(K32, 【参考】数式用２!$AG$2:$AH$48, 2, FALSE), "")</f>
        <v>_76</v>
      </c>
      <c r="AX32" s="1143" t="str">
        <f>IF(AND(P32="処遇改善加算Ⅰ", AL32=""), "未入力","入力済")</f>
        <v>入力済</v>
      </c>
      <c r="AY32" s="1125" t="str">
        <f>G32</f>
        <v>大和郡山市</v>
      </c>
      <c r="AZ32"/>
      <c r="BA32"/>
      <c r="BB32"/>
      <c r="BC32"/>
      <c r="BD32"/>
      <c r="BE32"/>
      <c r="BF32"/>
      <c r="BG32"/>
    </row>
    <row r="33" spans="1:59" ht="14.4">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1"/>
      <c r="AO33" s="1126"/>
      <c r="AP33" s="1142"/>
      <c r="AQ33" s="981"/>
      <c r="AR33" s="843"/>
      <c r="AS33" s="843"/>
      <c r="AT33" s="843"/>
      <c r="AU33" s="843"/>
      <c r="AV33" s="843"/>
      <c r="AW33" s="843"/>
      <c r="AX33" s="1143"/>
      <c r="AY33" s="1126"/>
      <c r="AZ33"/>
      <c r="BA33"/>
      <c r="BB33"/>
      <c r="BC33"/>
      <c r="BD33"/>
      <c r="BE33"/>
      <c r="BF33"/>
      <c r="BG33"/>
    </row>
    <row r="34" spans="1:59" ht="14.4">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71"/>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682"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1"/>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1111111113</v>
      </c>
      <c r="C36" s="1110"/>
      <c r="D36" s="1110"/>
      <c r="E36" s="1110"/>
      <c r="F36" s="1110"/>
      <c r="G36" s="1110" t="str">
        <f>IF(基本情報入力シート!L46="", "",基本情報入力シート!L46)</f>
        <v>奈良県</v>
      </c>
      <c r="H36" s="1110" t="str">
        <f>IF(基本情報入力シート!Q46="", "",基本情報入力シート!Q46)</f>
        <v>奈良県</v>
      </c>
      <c r="I36" s="1110" t="str">
        <f>IF(基本情報入力シート!V46="", "",基本情報入力シート!V46)</f>
        <v>奈良市</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10.42</v>
      </c>
      <c r="N36" s="1076" t="s">
        <v>398</v>
      </c>
      <c r="O36" s="1061">
        <f>IFERROR(VLOOKUP(K36,【参考】数式用２!$A$2:$AD$48,MATCH(N36,【参考】数式用２!$C$4:$AD$4,0)+2,0),"")</f>
        <v>8.3000000000000004E-2</v>
      </c>
      <c r="P36" s="1144" t="s">
        <v>384</v>
      </c>
      <c r="Q36" s="1147">
        <f>IFERROR(VLOOKUP(K36,【参考】数式用２!$A$2:$AC$48,MATCH(P36,【参考】数式用２!$C$4:$AC$4,0)+2,0),"")</f>
        <v>9.9999999999999992E-2</v>
      </c>
      <c r="R36" s="1150" t="s">
        <v>301</v>
      </c>
      <c r="S36" s="1153">
        <v>7</v>
      </c>
      <c r="T36" s="1070" t="s">
        <v>385</v>
      </c>
      <c r="U36" s="1153">
        <v>4</v>
      </c>
      <c r="V36" s="1070" t="s">
        <v>386</v>
      </c>
      <c r="W36" s="1153">
        <v>8</v>
      </c>
      <c r="X36" s="1070" t="s">
        <v>385</v>
      </c>
      <c r="Y36" s="1153">
        <v>3</v>
      </c>
      <c r="Z36" s="1070" t="s">
        <v>387</v>
      </c>
      <c r="AA36" s="1070" t="s">
        <v>209</v>
      </c>
      <c r="AB36" s="1070">
        <f>IF(S36&gt;=1,(W36*12+Y36)-(S36*12+U36)+1,"")</f>
        <v>12</v>
      </c>
      <c r="AC36" s="1073" t="s">
        <v>388</v>
      </c>
      <c r="AD36" s="1064">
        <f>IFERROR(ROUNDDOWN(ROUND(L36*Q36,0)*M36,0)*AB36,"")</f>
        <v>9378000</v>
      </c>
      <c r="AE36" s="1067">
        <f>IFERROR(ROUNDDOWN(ROUNDDOWN(ROUND(L36*VLOOKUP(K36,【参考】数式用２!$A$2:$AC$48,MATCH("処遇改善加算Ⅳ",【参考】数式用２!$C$4:$O$4,0)+2,0),0)*M36,0)*AB36*0.5,0), "")</f>
        <v>2954070</v>
      </c>
      <c r="AF36" s="1130" t="s">
        <v>2653</v>
      </c>
      <c r="AG36" s="1064">
        <f>IF(AND(AQ36&lt;&gt;"対象外", P36&lt;&gt;""),ROUNDDOWN(ROUND(L36*VLOOKUP(K36,【参考】数式用２!$A$2:$K$48,MATCH("ベア加算あり",【参考】数式用２!$C$4:$K$4,0)+2,0),0)*M36,0)*AB36,"")</f>
        <v>1031580</v>
      </c>
      <c r="AH36" s="1133" t="s">
        <v>2653</v>
      </c>
      <c r="AI36" s="1130" t="s">
        <v>2653</v>
      </c>
      <c r="AJ36" s="1130" t="s">
        <v>2653</v>
      </c>
      <c r="AK36" s="1136">
        <v>1</v>
      </c>
      <c r="AL36" s="1139" t="s">
        <v>397</v>
      </c>
      <c r="AM36" s="681" t="str">
        <f>IF(Q36="","",IF(Q36&lt;O36,"！加算の要件上は問題ありませんが、令和６年度末の加算率と比較して、令和７年度の加算率が低くなっています。",""))</f>
        <v/>
      </c>
      <c r="AN36" s="371"/>
      <c r="AO36" s="1125" t="str">
        <f>IF(K36&lt;&gt;"","Q列に色付け","")</f>
        <v>Q列に色付け</v>
      </c>
      <c r="AP36" s="1142" t="str">
        <f>IF(AND(AE36&lt;&gt;0,AE36&lt;&gt;""),IF(AF36="○","入力済","未入力"),"")</f>
        <v>入力済</v>
      </c>
      <c r="AQ36" s="980" t="str">
        <f>IFERROR((VLOOKUP(N36, 【参考】数式用２!$BE$5:$BE$13, 1,FALSE)), "対象外")</f>
        <v>処遇改善加算Ⅴ（３）</v>
      </c>
      <c r="AR36" s="843" t="str">
        <f>IF(AG36&lt;&gt;"",IF(AH36="○","入力済","未入力"),"")</f>
        <v>入力済</v>
      </c>
      <c r="AS36" s="843" t="str">
        <f>IF(AND(P36&lt;&gt;"", AI36=""), "未入力", "入力済")</f>
        <v>入力済</v>
      </c>
      <c r="AT36" s="843" t="str">
        <f>IF(AND(P36&lt;&gt;"", P36&lt;&gt;"処遇改善加算Ⅳ", AJ36=""), "未入力", "入力済")</f>
        <v>入力済</v>
      </c>
      <c r="AU36" s="843" t="str">
        <f>IFERROR(VLOOKUP(K36, 【参考】数式用２!$BB$5:$BC$48, 2, FALSE), "")</f>
        <v>対象</v>
      </c>
      <c r="AV36" s="843">
        <f>IF(AND(P36&lt;&gt;"処遇改善加算Ⅲ",P36&lt;&gt;"処遇改善加算Ⅳ", P36&lt;&gt;"", AU36&lt;&gt;"対象外"), 1,"")</f>
        <v>1</v>
      </c>
      <c r="AW36" s="843" t="str">
        <f>IFERROR("_"&amp;VLOOKUP(K36, 【参考】数式用２!$AG$2:$AH$48, 2, FALSE), "")</f>
        <v>_12</v>
      </c>
      <c r="AX36" s="1143" t="str">
        <f>IF(AND(P36="処遇改善加算Ⅰ", AL36=""), "未入力","入力済")</f>
        <v>入力済</v>
      </c>
      <c r="AY36" s="1125" t="str">
        <f>G36</f>
        <v>奈良県</v>
      </c>
      <c r="AZ36"/>
      <c r="BA36"/>
      <c r="BB36"/>
      <c r="BC36"/>
      <c r="BD36"/>
      <c r="BE36"/>
      <c r="BF36"/>
      <c r="BG36"/>
    </row>
    <row r="37" spans="1:59" ht="14.4">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1"/>
      <c r="AO37" s="1126"/>
      <c r="AP37" s="1142"/>
      <c r="AQ37" s="981"/>
      <c r="AR37" s="843"/>
      <c r="AS37" s="843"/>
      <c r="AT37" s="843"/>
      <c r="AU37" s="843"/>
      <c r="AV37" s="843"/>
      <c r="AW37" s="843"/>
      <c r="AX37" s="1143"/>
      <c r="AY37" s="1126"/>
      <c r="AZ37"/>
      <c r="BA37"/>
      <c r="BB37"/>
      <c r="BC37"/>
      <c r="BD37"/>
      <c r="BE37"/>
      <c r="BF37"/>
      <c r="BG37"/>
    </row>
    <row r="38" spans="1:59" ht="14.4">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71"/>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682"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1"/>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1111111114</v>
      </c>
      <c r="C40" s="1110"/>
      <c r="D40" s="1110"/>
      <c r="E40" s="1110"/>
      <c r="F40" s="1110"/>
      <c r="G40" s="1110" t="str">
        <f>IF(基本情報入力シート!L47="", "",基本情報入力シート!L47)</f>
        <v>奈良県</v>
      </c>
      <c r="H40" s="1110" t="str">
        <f>IF(基本情報入力シート!Q47="", "",基本情報入力シート!Q47)</f>
        <v>奈良県</v>
      </c>
      <c r="I40" s="1110" t="str">
        <f>IF(基本情報入力シート!V47="", "",基本情報入力シート!V47)</f>
        <v>奈良市</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10.42</v>
      </c>
      <c r="N40" s="1076" t="s">
        <v>399</v>
      </c>
      <c r="O40" s="1061">
        <f>IFERROR(VLOOKUP(K40,【参考】数式用２!$A$2:$AD$48,MATCH(N40,【参考】数式用２!$C$4:$AD$4,0)+2,0),"")</f>
        <v>7.8E-2</v>
      </c>
      <c r="P40" s="1144" t="s">
        <v>384</v>
      </c>
      <c r="Q40" s="1147">
        <f>IFERROR(VLOOKUP(K40,【参考】数式用２!$A$2:$AC$48,MATCH(P40,【参考】数式用２!$C$4:$AC$4,0)+2,0),"")</f>
        <v>9.9999999999999992E-2</v>
      </c>
      <c r="R40" s="1150" t="s">
        <v>301</v>
      </c>
      <c r="S40" s="1153">
        <v>7</v>
      </c>
      <c r="T40" s="1070" t="s">
        <v>385</v>
      </c>
      <c r="U40" s="1153">
        <v>4</v>
      </c>
      <c r="V40" s="1070" t="s">
        <v>386</v>
      </c>
      <c r="W40" s="1153">
        <v>8</v>
      </c>
      <c r="X40" s="1070" t="s">
        <v>385</v>
      </c>
      <c r="Y40" s="1153">
        <v>3</v>
      </c>
      <c r="Z40" s="1070" t="s">
        <v>387</v>
      </c>
      <c r="AA40" s="1070" t="s">
        <v>209</v>
      </c>
      <c r="AB40" s="1070">
        <f>IF(S40&gt;=1,(W40*12+Y40)-(S40*12+U40)+1,"")</f>
        <v>12</v>
      </c>
      <c r="AC40" s="1073" t="s">
        <v>388</v>
      </c>
      <c r="AD40" s="1064">
        <f>IFERROR(ROUNDDOWN(ROUND(L40*Q40,0)*M40,0)*AB40,"")</f>
        <v>9378000</v>
      </c>
      <c r="AE40" s="1067">
        <f>IFERROR(ROUNDDOWN(ROUNDDOWN(ROUND(L40*VLOOKUP(K40,【参考】数式用２!$A$2:$AC$48,MATCH("処遇改善加算Ⅳ",【参考】数式用２!$C$4:$O$4,0)+2,0),0)*M40,0)*AB40*0.5,0), "")</f>
        <v>2954070</v>
      </c>
      <c r="AF40" s="1130" t="s">
        <v>2653</v>
      </c>
      <c r="AG40" s="1064" t="str">
        <f>IF(AND(AQ40&lt;&gt;"対象外", P40&lt;&gt;""),ROUNDDOWN(ROUND(L40*VLOOKUP(K40,【参考】数式用２!$A$2:$K$48,MATCH("ベア加算あり",【参考】数式用２!$C$4:$K$4,0)+2,0),0)*M40,0)*AB40,"")</f>
        <v/>
      </c>
      <c r="AH40" s="1133"/>
      <c r="AI40" s="1130" t="s">
        <v>2653</v>
      </c>
      <c r="AJ40" s="1130" t="s">
        <v>389</v>
      </c>
      <c r="AK40" s="1136"/>
      <c r="AL40" s="1139" t="s">
        <v>397</v>
      </c>
      <c r="AM40" s="681" t="str">
        <f>IF(Q40="","",IF(Q40&lt;O40,"！加算の要件上は問題ありませんが、令和６年度末の加算率と比較して、令和７年度の加算率が低くなっています。",""))</f>
        <v/>
      </c>
      <c r="AN40" s="371"/>
      <c r="AO40" s="1125" t="str">
        <f>IF(K40&lt;&gt;"","Q列に色付け","")</f>
        <v>Q列に色付け</v>
      </c>
      <c r="AP40" s="1142" t="str">
        <f>IF(AND(AE40&lt;&gt;0,AE40&lt;&gt;""),IF(AF40="○","入力済","未入力"),"")</f>
        <v>入力済</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対象外</v>
      </c>
      <c r="AV40" s="843" t="str">
        <f>IF(AND(P40&lt;&gt;"処遇改善加算Ⅲ",P40&lt;&gt;"処遇改善加算Ⅳ", P40&lt;&gt;"", AU40&lt;&gt;"対象外"), 1,"")</f>
        <v/>
      </c>
      <c r="AW40" s="843" t="str">
        <f>IFERROR("_"&amp;VLOOKUP(K40, 【参考】数式用２!$AG$2:$AH$48, 2, FALSE), "")</f>
        <v>_62</v>
      </c>
      <c r="AX40" s="1143" t="str">
        <f>IF(AND(P40="処遇改善加算Ⅰ", AL40=""), "未入力","入力済")</f>
        <v>入力済</v>
      </c>
      <c r="AY40" s="1125" t="str">
        <f>G40</f>
        <v>奈良県</v>
      </c>
      <c r="AZ40"/>
      <c r="BA40"/>
      <c r="BB40"/>
      <c r="BC40"/>
      <c r="BD40"/>
      <c r="BE40"/>
      <c r="BF40"/>
      <c r="BG40"/>
    </row>
    <row r="41" spans="1:59" ht="14.4">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1"/>
      <c r="AO41" s="1126"/>
      <c r="AP41" s="1142"/>
      <c r="AQ41" s="981"/>
      <c r="AR41" s="843"/>
      <c r="AS41" s="843"/>
      <c r="AT41" s="843"/>
      <c r="AU41" s="843"/>
      <c r="AV41" s="843"/>
      <c r="AW41" s="843"/>
      <c r="AX41" s="1143"/>
      <c r="AY41" s="1126"/>
      <c r="AZ41"/>
      <c r="BA41"/>
      <c r="BB41"/>
      <c r="BC41"/>
      <c r="BD41"/>
      <c r="BE41"/>
      <c r="BF41"/>
      <c r="BG41"/>
    </row>
    <row r="42" spans="1:59" ht="14.4">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71"/>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682"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1"/>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1111111115</v>
      </c>
      <c r="C44" s="1110"/>
      <c r="D44" s="1110"/>
      <c r="E44" s="1110"/>
      <c r="F44" s="1110"/>
      <c r="G44" s="1110" t="str">
        <f>IF(基本情報入力シート!L48="", "",基本情報入力シート!L48)</f>
        <v>奈良県</v>
      </c>
      <c r="H44" s="1110" t="str">
        <f>IF(基本情報入力シート!Q48="", "",基本情報入力シート!Q48)</f>
        <v>奈良県</v>
      </c>
      <c r="I44" s="1110" t="str">
        <f>IF(基本情報入力シート!V48="", "",基本情報入力シート!V48)</f>
        <v>奈良市</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10.27</v>
      </c>
      <c r="N44" s="1076" t="s">
        <v>400</v>
      </c>
      <c r="O44" s="1061">
        <f>IFERROR(VLOOKUP(K44,【参考】数式用２!$A$2:$AD$48,MATCH(N44,【参考】数式用２!$C$4:$AD$4,0)+2,0),"")</f>
        <v>6.4999999999999988E-2</v>
      </c>
      <c r="P44" s="1144" t="s">
        <v>384</v>
      </c>
      <c r="Q44" s="1147">
        <f>IFERROR(VLOOKUP(K44,【参考】数式用２!$A$2:$AC$48,MATCH(P44,【参考】数式用２!$C$4:$AC$4,0)+2,0),"")</f>
        <v>9.1999999999999985E-2</v>
      </c>
      <c r="R44" s="1150" t="s">
        <v>301</v>
      </c>
      <c r="S44" s="1153">
        <v>7</v>
      </c>
      <c r="T44" s="1070" t="s">
        <v>385</v>
      </c>
      <c r="U44" s="1153">
        <v>4</v>
      </c>
      <c r="V44" s="1070" t="s">
        <v>386</v>
      </c>
      <c r="W44" s="1153">
        <v>8</v>
      </c>
      <c r="X44" s="1070" t="s">
        <v>385</v>
      </c>
      <c r="Y44" s="1153">
        <v>3</v>
      </c>
      <c r="Z44" s="1070" t="s">
        <v>387</v>
      </c>
      <c r="AA44" s="1070" t="s">
        <v>209</v>
      </c>
      <c r="AB44" s="1070">
        <f>IF(S44&gt;=1,(W44*12+Y44)-(S44*12+U44)+1,"")</f>
        <v>12</v>
      </c>
      <c r="AC44" s="1073" t="s">
        <v>388</v>
      </c>
      <c r="AD44" s="1064">
        <f>IFERROR(ROUNDDOWN(ROUND(L44*Q44,0)*M44,0)*AB44,"")</f>
        <v>8503560</v>
      </c>
      <c r="AE44" s="1067">
        <f>IFERROR(ROUNDDOWN(ROUNDDOWN(ROUND(L44*VLOOKUP(K44,【参考】数式用２!$A$2:$AC$48,MATCH("処遇改善加算Ⅳ",【参考】数式用２!$C$4:$O$4,0)+2,0),0)*M44,0)*AB44*0.5,0), "")</f>
        <v>2957760</v>
      </c>
      <c r="AF44" s="1130" t="s">
        <v>2653</v>
      </c>
      <c r="AG44" s="1064">
        <f>IF(AND(AQ44&lt;&gt;"対象外", P44&lt;&gt;""),ROUNDDOWN(ROUND(L44*VLOOKUP(K44,【参考】数式用２!$A$2:$K$48,MATCH("ベア加算あり",【参考】数式用２!$C$4:$K$4,0)+2,0),0)*M44,0)*AB44,"")</f>
        <v>1016724</v>
      </c>
      <c r="AH44" s="1133" t="s">
        <v>2653</v>
      </c>
      <c r="AI44" s="1130" t="s">
        <v>389</v>
      </c>
      <c r="AJ44" s="1130" t="s">
        <v>389</v>
      </c>
      <c r="AK44" s="1136">
        <v>1</v>
      </c>
      <c r="AL44" s="1139" t="s">
        <v>397</v>
      </c>
      <c r="AM44" s="681" t="str">
        <f>IF(Q44="","",IF(Q44&lt;O44,"！加算の要件上は問題ありませんが、令和６年度末の加算率と比較して、令和７年度の加算率が低くなっています。",""))</f>
        <v/>
      </c>
      <c r="AN44" s="371"/>
      <c r="AO44" s="1125" t="str">
        <f>IF(K44&lt;&gt;"","Q列に色付け","")</f>
        <v>Q列に色付け</v>
      </c>
      <c r="AP44" s="1142" t="str">
        <f>IF(AND(AE44&lt;&gt;0,AE44&lt;&gt;""),IF(AF44="○","入力済","未入力"),"")</f>
        <v>入力済</v>
      </c>
      <c r="AQ44" s="980" t="str">
        <f>IFERROR((VLOOKUP(N44, 【参考】数式用２!$BE$5:$BE$13, 1,FALSE)), "対象外")</f>
        <v>処遇改善加算Ⅴ（５）</v>
      </c>
      <c r="AR44" s="843" t="str">
        <f>IF(AG44&lt;&gt;"",IF(AH44="○","入力済","未入力"),"")</f>
        <v>入力済</v>
      </c>
      <c r="AS44" s="843" t="str">
        <f>IF(AND(P44&lt;&gt;"", AI44=""), "未入力", "入力済")</f>
        <v>入力済</v>
      </c>
      <c r="AT44" s="843" t="str">
        <f>IF(AND(P44&lt;&gt;"", P44&lt;&gt;"処遇改善加算Ⅳ", AJ44=""), "未入力", "入力済")</f>
        <v>入力済</v>
      </c>
      <c r="AU44" s="843" t="str">
        <f>IFERROR(VLOOKUP(K44, 【参考】数式用２!$BB$5:$BC$48, 2, FALSE), "")</f>
        <v>対象</v>
      </c>
      <c r="AV44" s="843">
        <f>IF(AND(P44&lt;&gt;"処遇改善加算Ⅲ",P44&lt;&gt;"処遇改善加算Ⅳ", P44&lt;&gt;"", AU44&lt;&gt;"対象外"), 1,"")</f>
        <v>1</v>
      </c>
      <c r="AW44" s="843" t="str">
        <f>IFERROR("_"&amp;VLOOKUP(K44, 【参考】数式用２!$AG$2:$AH$48, 2, FALSE), "")</f>
        <v>_15</v>
      </c>
      <c r="AX44" s="1143" t="str">
        <f>IF(AND(P44="処遇改善加算Ⅰ", AL44=""), "未入力","入力済")</f>
        <v>入力済</v>
      </c>
      <c r="AY44" s="1125" t="str">
        <f>G44</f>
        <v>奈良県</v>
      </c>
      <c r="AZ44"/>
      <c r="BA44"/>
      <c r="BB44"/>
      <c r="BC44"/>
      <c r="BD44"/>
      <c r="BE44"/>
      <c r="BF44"/>
      <c r="BG44"/>
    </row>
    <row r="45" spans="1:59" ht="14.4">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1"/>
      <c r="AO45" s="1126"/>
      <c r="AP45" s="1142"/>
      <c r="AQ45" s="981"/>
      <c r="AR45" s="843"/>
      <c r="AS45" s="843"/>
      <c r="AT45" s="843"/>
      <c r="AU45" s="843"/>
      <c r="AV45" s="843"/>
      <c r="AW45" s="843"/>
      <c r="AX45" s="1143"/>
      <c r="AY45" s="1126"/>
      <c r="AZ45"/>
      <c r="BA45"/>
      <c r="BB45"/>
      <c r="BC45"/>
      <c r="BD45"/>
      <c r="BE45"/>
      <c r="BF45"/>
      <c r="BG45"/>
    </row>
    <row r="46" spans="1:59" ht="14.4">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71"/>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682"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1"/>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1111111116</v>
      </c>
      <c r="C48" s="1110"/>
      <c r="D48" s="1110"/>
      <c r="E48" s="1110"/>
      <c r="F48" s="1110"/>
      <c r="G48" s="1110" t="str">
        <f>IF(基本情報入力シート!L49="", "",基本情報入力シート!L49)</f>
        <v>天理市</v>
      </c>
      <c r="H48" s="1110" t="str">
        <f>IF(基本情報入力シート!Q49="", "",基本情報入力シート!Q49)</f>
        <v>奈良県</v>
      </c>
      <c r="I48" s="1110" t="str">
        <f>IF(基本情報入力シート!V49="", "",基本情報入力シート!V49)</f>
        <v>奈良市</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10.27</v>
      </c>
      <c r="N48" s="1076" t="s">
        <v>401</v>
      </c>
      <c r="O48" s="1061">
        <f>IFERROR(VLOOKUP(K48,【参考】数式用２!$A$2:$AD$48,MATCH(N48,【参考】数式用２!$C$4:$AD$4,0)+2,0),"")</f>
        <v>6.3E-2</v>
      </c>
      <c r="P48" s="1144" t="s">
        <v>384</v>
      </c>
      <c r="Q48" s="1147">
        <f>IFERROR(VLOOKUP(K48,【参考】数式用２!$A$2:$AC$48,MATCH(P48,【参考】数式用２!$C$4:$AC$4,0)+2,0),"")</f>
        <v>9.1999999999999985E-2</v>
      </c>
      <c r="R48" s="1150" t="s">
        <v>301</v>
      </c>
      <c r="S48" s="1153">
        <v>7</v>
      </c>
      <c r="T48" s="1070" t="s">
        <v>385</v>
      </c>
      <c r="U48" s="1153">
        <v>4</v>
      </c>
      <c r="V48" s="1070" t="s">
        <v>386</v>
      </c>
      <c r="W48" s="1153">
        <v>8</v>
      </c>
      <c r="X48" s="1070" t="s">
        <v>385</v>
      </c>
      <c r="Y48" s="1153">
        <v>3</v>
      </c>
      <c r="Z48" s="1070" t="s">
        <v>387</v>
      </c>
      <c r="AA48" s="1070" t="s">
        <v>209</v>
      </c>
      <c r="AB48" s="1070">
        <f>IF(S48&gt;=1,(W48*12+Y48)-(S48*12+U48)+1,"")</f>
        <v>12</v>
      </c>
      <c r="AC48" s="1073" t="s">
        <v>388</v>
      </c>
      <c r="AD48" s="1064">
        <f>IFERROR(ROUNDDOWN(ROUND(L48*Q48,0)*M48,0)*AB48,"")</f>
        <v>8503560</v>
      </c>
      <c r="AE48" s="1067">
        <f>IFERROR(ROUNDDOWN(ROUNDDOWN(ROUND(L48*VLOOKUP(K48,【参考】数式用２!$A$2:$AC$48,MATCH("処遇改善加算Ⅳ",【参考】数式用２!$C$4:$O$4,0)+2,0),0)*M48,0)*AB48*0.5,0), "")</f>
        <v>2957760</v>
      </c>
      <c r="AF48" s="1130" t="s">
        <v>2653</v>
      </c>
      <c r="AG48" s="1064">
        <f>IF(AND(AQ48&lt;&gt;"対象外", P48&lt;&gt;""),ROUNDDOWN(ROUND(L48*VLOOKUP(K48,【参考】数式用２!$A$2:$K$48,MATCH("ベア加算あり",【参考】数式用２!$C$4:$K$4,0)+2,0),0)*M48,0)*AB48,"")</f>
        <v>1016724</v>
      </c>
      <c r="AH48" s="1133" t="s">
        <v>2653</v>
      </c>
      <c r="AI48" s="1130" t="s">
        <v>389</v>
      </c>
      <c r="AJ48" s="1130" t="s">
        <v>2653</v>
      </c>
      <c r="AK48" s="1136">
        <v>1</v>
      </c>
      <c r="AL48" s="1139" t="s">
        <v>397</v>
      </c>
      <c r="AM48" s="681" t="str">
        <f>IF(Q48="","",IF(Q48&lt;O48,"！加算の要件上は問題ありませんが、令和６年度末の加算率と比較して、令和７年度の加算率が低くなっています。",""))</f>
        <v/>
      </c>
      <c r="AN48" s="371"/>
      <c r="AO48" s="1125" t="str">
        <f>IF(K48&lt;&gt;"","Q列に色付け","")</f>
        <v>Q列に色付け</v>
      </c>
      <c r="AP48" s="1142" t="str">
        <f>IF(AND(AE48&lt;&gt;0,AE48&lt;&gt;""),IF(AF48="○","入力済","未入力"),"")</f>
        <v>入力済</v>
      </c>
      <c r="AQ48" s="980" t="str">
        <f>IFERROR((VLOOKUP(N48, 【参考】数式用２!$BE$5:$BE$13, 1,FALSE)), "対象外")</f>
        <v>処遇改善加算Ⅴ（６）</v>
      </c>
      <c r="AR48" s="843" t="str">
        <f>IF(AG48&lt;&gt;"",IF(AH48="○","入力済","未入力"),"")</f>
        <v>入力済</v>
      </c>
      <c r="AS48" s="843" t="str">
        <f>IF(AND(P48&lt;&gt;"", AI48=""), "未入力", "入力済")</f>
        <v>入力済</v>
      </c>
      <c r="AT48" s="843" t="str">
        <f>IF(AND(P48&lt;&gt;"", P48&lt;&gt;"処遇改善加算Ⅳ", AJ48=""), "未入力", "入力済")</f>
        <v>入力済</v>
      </c>
      <c r="AU48" s="843" t="str">
        <f>IFERROR(VLOOKUP(K48, 【参考】数式用２!$BB$5:$BC$48, 2, FALSE), "")</f>
        <v>対象</v>
      </c>
      <c r="AV48" s="843">
        <f>IF(AND(P48&lt;&gt;"処遇改善加算Ⅲ",P48&lt;&gt;"処遇改善加算Ⅳ", P48&lt;&gt;"", AU48&lt;&gt;"対象外"), 1,"")</f>
        <v>1</v>
      </c>
      <c r="AW48" s="843" t="str">
        <f>IFERROR("_"&amp;VLOOKUP(K48, 【参考】数式用２!$AG$2:$AH$48, 2, FALSE), "")</f>
        <v>_78</v>
      </c>
      <c r="AX48" s="1143" t="str">
        <f>IF(AND(P48="処遇改善加算Ⅰ", AL48=""), "未入力","入力済")</f>
        <v>入力済</v>
      </c>
      <c r="AY48" s="1125" t="str">
        <f>G48</f>
        <v>天理市</v>
      </c>
      <c r="AZ48"/>
      <c r="BA48"/>
      <c r="BB48"/>
      <c r="BC48"/>
      <c r="BD48"/>
      <c r="BE48"/>
      <c r="BF48"/>
      <c r="BG48"/>
    </row>
    <row r="49" spans="1:59" ht="14.4">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1"/>
      <c r="AO49" s="1126"/>
      <c r="AP49" s="1142"/>
      <c r="AQ49" s="981"/>
      <c r="AR49" s="843"/>
      <c r="AS49" s="843"/>
      <c r="AT49" s="843"/>
      <c r="AU49" s="843"/>
      <c r="AV49" s="843"/>
      <c r="AW49" s="843"/>
      <c r="AX49" s="1143"/>
      <c r="AY49" s="1126"/>
      <c r="AZ49"/>
      <c r="BA49"/>
      <c r="BB49"/>
      <c r="BC49"/>
      <c r="BD49"/>
      <c r="BE49"/>
      <c r="BF49"/>
      <c r="BG49"/>
    </row>
    <row r="50" spans="1:59" ht="14.4">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71"/>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682"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1"/>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1111111117</v>
      </c>
      <c r="C52" s="1110"/>
      <c r="D52" s="1110"/>
      <c r="E52" s="1110"/>
      <c r="F52" s="1110"/>
      <c r="G52" s="1110" t="str">
        <f>IF(基本情報入力シート!L50="", "",基本情報入力シート!L50)</f>
        <v>奈良県</v>
      </c>
      <c r="H52" s="1110" t="str">
        <f>IF(基本情報入力シート!Q50="", "",基本情報入力シート!Q50)</f>
        <v>奈良県</v>
      </c>
      <c r="I52" s="1110" t="str">
        <f>IF(基本情報入力シート!V50="", "",基本情報入力シート!V50)</f>
        <v>奈良市</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10.33</v>
      </c>
      <c r="N52" s="1076" t="s">
        <v>402</v>
      </c>
      <c r="O52" s="1061">
        <f>IFERROR(VLOOKUP(K52,【参考】数式用２!$A$2:$AD$48,MATCH(N52,【参考】数式用２!$C$4:$AD$4,0)+2,0),"")</f>
        <v>5.8000000000000003E-2</v>
      </c>
      <c r="P52" s="1144" t="s">
        <v>384</v>
      </c>
      <c r="Q52" s="1147">
        <f>IFERROR(VLOOKUP(K52,【参考】数式用２!$A$2:$AC$48,MATCH(P52,【参考】数式用２!$C$4:$AC$4,0)+2,0),"")</f>
        <v>8.5999999999999993E-2</v>
      </c>
      <c r="R52" s="1150" t="s">
        <v>301</v>
      </c>
      <c r="S52" s="1153">
        <v>7</v>
      </c>
      <c r="T52" s="1070" t="s">
        <v>385</v>
      </c>
      <c r="U52" s="1153">
        <v>4</v>
      </c>
      <c r="V52" s="1070" t="s">
        <v>386</v>
      </c>
      <c r="W52" s="1153">
        <v>8</v>
      </c>
      <c r="X52" s="1070" t="s">
        <v>385</v>
      </c>
      <c r="Y52" s="1153">
        <v>3</v>
      </c>
      <c r="Z52" s="1070" t="s">
        <v>387</v>
      </c>
      <c r="AA52" s="1070" t="s">
        <v>209</v>
      </c>
      <c r="AB52" s="1070">
        <f>IF(S52&gt;=1,(W52*12+Y52)-(S52*12+U52)+1,"")</f>
        <v>12</v>
      </c>
      <c r="AC52" s="1073" t="s">
        <v>388</v>
      </c>
      <c r="AD52" s="1064">
        <f>IFERROR(ROUNDDOWN(ROUND(L52*Q52,0)*M52,0)*AB52,"")</f>
        <v>7995420</v>
      </c>
      <c r="AE52" s="1067">
        <f>IFERROR(ROUNDDOWN(ROUNDDOWN(ROUND(L52*VLOOKUP(K52,【参考】数式用２!$A$2:$AC$48,MATCH("処遇改善加算Ⅳ",【参考】数式用２!$C$4:$O$4,0)+2,0),0)*M52,0)*AB52*0.5,0), "")</f>
        <v>2463702</v>
      </c>
      <c r="AF52" s="1130" t="s">
        <v>2653</v>
      </c>
      <c r="AG52" s="1064" t="str">
        <f>IF(AND(AQ52&lt;&gt;"対象外", P52&lt;&gt;""),ROUNDDOWN(ROUND(L52*VLOOKUP(K52,【参考】数式用２!$A$2:$K$48,MATCH("ベア加算あり",【参考】数式用２!$C$4:$K$4,0)+2,0),0)*M52,0)*AB52,"")</f>
        <v/>
      </c>
      <c r="AH52" s="1133"/>
      <c r="AI52" s="1130" t="s">
        <v>2653</v>
      </c>
      <c r="AJ52" s="1130" t="s">
        <v>389</v>
      </c>
      <c r="AK52" s="1136">
        <v>1</v>
      </c>
      <c r="AL52" s="1139" t="s">
        <v>397</v>
      </c>
      <c r="AM52" s="681" t="str">
        <f>IF(Q52="","",IF(Q52&lt;O52,"！加算の要件上は問題ありませんが、令和６年度末の加算率と比較して、令和７年度の加算率が低くなっています。",""))</f>
        <v/>
      </c>
      <c r="AN52" s="371"/>
      <c r="AO52" s="1125" t="str">
        <f>IF(K52&lt;&gt;"","Q列に色付け","")</f>
        <v>Q列に色付け</v>
      </c>
      <c r="AP52" s="1142" t="str">
        <f>IF(AND(AE52&lt;&gt;0,AE52&lt;&gt;""),IF(AF52="○","入力済","未入力"),"")</f>
        <v>入力済</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対象</v>
      </c>
      <c r="AV52" s="843">
        <f>IF(AND(P52&lt;&gt;"処遇改善加算Ⅲ",P52&lt;&gt;"処遇改善加算Ⅳ", P52&lt;&gt;"", AU52&lt;&gt;"対象外"), 1,"")</f>
        <v>1</v>
      </c>
      <c r="AW52" s="843" t="str">
        <f>IFERROR("_"&amp;VLOOKUP(K52, 【参考】数式用２!$AG$2:$AH$48, 2, FALSE), "")</f>
        <v>_16</v>
      </c>
      <c r="AX52" s="1143" t="str">
        <f>IF(AND(P52="処遇改善加算Ⅰ", AL52=""), "未入力","入力済")</f>
        <v>入力済</v>
      </c>
      <c r="AY52" s="1125" t="str">
        <f>G52</f>
        <v>奈良県</v>
      </c>
      <c r="AZ52"/>
      <c r="BA52"/>
      <c r="BB52"/>
      <c r="BC52"/>
      <c r="BD52"/>
      <c r="BE52"/>
      <c r="BF52"/>
      <c r="BG52"/>
    </row>
    <row r="53" spans="1:59" ht="14.4">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1"/>
      <c r="AO53" s="1126"/>
      <c r="AP53" s="1142"/>
      <c r="AQ53" s="981"/>
      <c r="AR53" s="843"/>
      <c r="AS53" s="843"/>
      <c r="AT53" s="843"/>
      <c r="AU53" s="843"/>
      <c r="AV53" s="843"/>
      <c r="AW53" s="843"/>
      <c r="AX53" s="1143"/>
      <c r="AY53" s="1126"/>
      <c r="AZ53"/>
      <c r="BA53"/>
      <c r="BB53"/>
      <c r="BC53"/>
      <c r="BD53"/>
      <c r="BE53"/>
      <c r="BF53"/>
      <c r="BG53"/>
    </row>
    <row r="54" spans="1:59" ht="14.4">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71"/>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682"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1"/>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1111111118</v>
      </c>
      <c r="C56" s="1110"/>
      <c r="D56" s="1110"/>
      <c r="E56" s="1110"/>
      <c r="F56" s="1110"/>
      <c r="G56" s="1110" t="str">
        <f>IF(基本情報入力シート!L51="", "",基本情報入力シート!L51)</f>
        <v>奈良県</v>
      </c>
      <c r="H56" s="1110" t="str">
        <f>IF(基本情報入力シート!Q51="", "",基本情報入力シート!Q51)</f>
        <v>奈良県</v>
      </c>
      <c r="I56" s="1110" t="str">
        <f>IF(基本情報入力シート!V51="", "",基本情報入力シート!V51)</f>
        <v>奈良市</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10.33</v>
      </c>
      <c r="N56" s="1076" t="s">
        <v>403</v>
      </c>
      <c r="O56" s="1061">
        <f>IFERROR(VLOOKUP(K56,【参考】数式用２!$A$2:$AD$48,MATCH(N56,【参考】数式用２!$C$4:$AD$4,0)+2,0),"")</f>
        <v>5.6000000000000001E-2</v>
      </c>
      <c r="P56" s="1144" t="s">
        <v>384</v>
      </c>
      <c r="Q56" s="1147">
        <f>IFERROR(VLOOKUP(K56,【参考】数式用２!$A$2:$AC$48,MATCH(P56,【参考】数式用２!$C$4:$AC$4,0)+2,0),"")</f>
        <v>8.5999999999999993E-2</v>
      </c>
      <c r="R56" s="1150" t="s">
        <v>301</v>
      </c>
      <c r="S56" s="1153">
        <v>7</v>
      </c>
      <c r="T56" s="1070" t="s">
        <v>385</v>
      </c>
      <c r="U56" s="1153">
        <v>4</v>
      </c>
      <c r="V56" s="1070" t="s">
        <v>386</v>
      </c>
      <c r="W56" s="1153">
        <v>8</v>
      </c>
      <c r="X56" s="1070" t="s">
        <v>385</v>
      </c>
      <c r="Y56" s="1153">
        <v>3</v>
      </c>
      <c r="Z56" s="1070" t="s">
        <v>387</v>
      </c>
      <c r="AA56" s="1070" t="s">
        <v>209</v>
      </c>
      <c r="AB56" s="1070">
        <f>IF(S56&gt;=1,(W56*12+Y56)-(S56*12+U56)+1,"")</f>
        <v>12</v>
      </c>
      <c r="AC56" s="1073" t="s">
        <v>388</v>
      </c>
      <c r="AD56" s="1064">
        <f>IFERROR(ROUNDDOWN(ROUND(L56*Q56,0)*M56,0)*AB56,"")</f>
        <v>7995420</v>
      </c>
      <c r="AE56" s="1067">
        <f>IFERROR(ROUNDDOWN(ROUNDDOWN(ROUND(L56*VLOOKUP(K56,【参考】数式用２!$A$2:$AC$48,MATCH("処遇改善加算Ⅳ",【参考】数式用２!$C$4:$O$4,0)+2,0),0)*M56,0)*AB56*0.5,0), "")</f>
        <v>2463702</v>
      </c>
      <c r="AF56" s="1130" t="s">
        <v>2653</v>
      </c>
      <c r="AG56" s="1064">
        <f>IF(AND(AQ56&lt;&gt;"対象外", P56&lt;&gt;""),ROUNDDOWN(ROUND(L56*VLOOKUP(K56,【参考】数式用２!$A$2:$K$48,MATCH("ベア加算あり",【参考】数式用２!$C$4:$K$4,0)+2,0),0)*M56,0)*AB56,"")</f>
        <v>929700</v>
      </c>
      <c r="AH56" s="1133" t="s">
        <v>2653</v>
      </c>
      <c r="AI56" s="1130" t="s">
        <v>2653</v>
      </c>
      <c r="AJ56" s="1130" t="s">
        <v>389</v>
      </c>
      <c r="AK56" s="1136"/>
      <c r="AL56" s="1139" t="s">
        <v>397</v>
      </c>
      <c r="AM56" s="681" t="str">
        <f>IF(Q56="","",IF(Q56&lt;O56,"！加算の要件上は問題ありませんが、令和６年度末の加算率と比較して、令和７年度の加算率が低くなっています。",""))</f>
        <v/>
      </c>
      <c r="AN56" s="371"/>
      <c r="AO56" s="1125" t="str">
        <f>IF(K56&lt;&gt;"","Q列に色付け","")</f>
        <v>Q列に色付け</v>
      </c>
      <c r="AP56" s="1142" t="str">
        <f>IF(AND(AE56&lt;&gt;0,AE56&lt;&gt;""),IF(AF56="○","入力済","未入力"),"")</f>
        <v>入力済</v>
      </c>
      <c r="AQ56" s="980" t="str">
        <f>IFERROR((VLOOKUP(N56, 【参考】数式用２!$BE$5:$BE$13, 1,FALSE)), "対象外")</f>
        <v>処遇改善加算Ⅴ（８）</v>
      </c>
      <c r="AR56" s="843" t="str">
        <f>IF(AG56&lt;&gt;"",IF(AH56="○","入力済","未入力"),"")</f>
        <v>入力済</v>
      </c>
      <c r="AS56" s="843" t="str">
        <f>IF(AND(P56&lt;&gt;"", AI56=""), "未入力", "入力済")</f>
        <v>入力済</v>
      </c>
      <c r="AT56" s="843" t="str">
        <f>IF(AND(P56&lt;&gt;"", P56&lt;&gt;"処遇改善加算Ⅳ", AJ56=""), "未入力", "入力済")</f>
        <v>入力済</v>
      </c>
      <c r="AU56" s="843" t="str">
        <f>IFERROR(VLOOKUP(K56, 【参考】数式用２!$BB$5:$BC$48, 2, FALSE), "")</f>
        <v>対象外</v>
      </c>
      <c r="AV56" s="843" t="str">
        <f>IF(AND(P56&lt;&gt;"処遇改善加算Ⅲ",P56&lt;&gt;"処遇改善加算Ⅳ", P56&lt;&gt;"", AU56&lt;&gt;"対象外"), 1,"")</f>
        <v/>
      </c>
      <c r="AW56" s="843" t="str">
        <f>IFERROR("_"&amp;VLOOKUP(K56, 【参考】数式用２!$AG$2:$AH$48, 2, FALSE), "")</f>
        <v>_66</v>
      </c>
      <c r="AX56" s="1143" t="str">
        <f>IF(AND(P56="処遇改善加算Ⅰ", AL56=""), "未入力","入力済")</f>
        <v>入力済</v>
      </c>
      <c r="AY56" s="1125" t="str">
        <f>G56</f>
        <v>奈良県</v>
      </c>
      <c r="AZ56"/>
      <c r="BA56"/>
      <c r="BB56"/>
      <c r="BC56"/>
      <c r="BD56"/>
      <c r="BE56"/>
      <c r="BF56"/>
      <c r="BG56"/>
    </row>
    <row r="57" spans="1:59" ht="14.4">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1"/>
      <c r="AO57" s="1126"/>
      <c r="AP57" s="1142"/>
      <c r="AQ57" s="981"/>
      <c r="AR57" s="843"/>
      <c r="AS57" s="843"/>
      <c r="AT57" s="843"/>
      <c r="AU57" s="843"/>
      <c r="AV57" s="843"/>
      <c r="AW57" s="843"/>
      <c r="AX57" s="1143"/>
      <c r="AY57" s="1126"/>
      <c r="AZ57"/>
      <c r="BA57"/>
      <c r="BB57"/>
      <c r="BC57"/>
      <c r="BD57"/>
      <c r="BE57"/>
      <c r="BF57"/>
      <c r="BG57"/>
    </row>
    <row r="58" spans="1:59" ht="14.4">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71"/>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682"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1"/>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1111111119</v>
      </c>
      <c r="C60" s="1110"/>
      <c r="D60" s="1110"/>
      <c r="E60" s="1110"/>
      <c r="F60" s="1110"/>
      <c r="G60" s="1110" t="str">
        <f>IF(基本情報入力シート!L52="", "",基本情報入力シート!L52)</f>
        <v>奈良県</v>
      </c>
      <c r="H60" s="1110" t="str">
        <f>IF(基本情報入力シート!Q52="", "",基本情報入力シート!Q52)</f>
        <v>奈良県</v>
      </c>
      <c r="I60" s="1110" t="str">
        <f>IF(基本情報入力シート!V52="", "",基本情報入力シート!V52)</f>
        <v>奈良市</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10.27</v>
      </c>
      <c r="N60" s="1076" t="s">
        <v>404</v>
      </c>
      <c r="O60" s="1061">
        <f>IFERROR(VLOOKUP(K60,【参考】数式用２!$A$2:$AD$48,MATCH(N60,【参考】数式用２!$C$4:$AD$4,0)+2,0),"")</f>
        <v>7.2999999999999995E-2</v>
      </c>
      <c r="P60" s="1144" t="s">
        <v>384</v>
      </c>
      <c r="Q60" s="1147">
        <f>IFERROR(VLOOKUP(K60,【参考】数式用２!$A$2:$AC$48,MATCH(P60,【参考】数式用２!$C$4:$AC$4,0)+2,0),"")</f>
        <v>0.128</v>
      </c>
      <c r="R60" s="1150" t="s">
        <v>301</v>
      </c>
      <c r="S60" s="1153">
        <v>7</v>
      </c>
      <c r="T60" s="1070" t="s">
        <v>385</v>
      </c>
      <c r="U60" s="1153">
        <v>4</v>
      </c>
      <c r="V60" s="1070" t="s">
        <v>386</v>
      </c>
      <c r="W60" s="1153">
        <v>8</v>
      </c>
      <c r="X60" s="1070" t="s">
        <v>385</v>
      </c>
      <c r="Y60" s="1153">
        <v>3</v>
      </c>
      <c r="Z60" s="1070" t="s">
        <v>387</v>
      </c>
      <c r="AA60" s="1070" t="s">
        <v>209</v>
      </c>
      <c r="AB60" s="1070">
        <f>IF(S60&gt;=1,(W60*12+Y60)-(S60*12+U60)+1,"")</f>
        <v>12</v>
      </c>
      <c r="AC60" s="1073" t="s">
        <v>388</v>
      </c>
      <c r="AD60" s="1064">
        <f>IFERROR(ROUNDDOWN(ROUND(L60*Q60,0)*M60,0)*AB60,"")</f>
        <v>11831040</v>
      </c>
      <c r="AE60" s="1067">
        <f>IFERROR(ROUNDDOWN(ROUNDDOWN(ROUND(L60*VLOOKUP(K60,【参考】数式用２!$A$2:$AC$48,MATCH("処遇改善加算Ⅳ",【参考】数式用２!$C$4:$O$4,0)+2,0),0)*M60,0)*AB60*0.5,0), "")</f>
        <v>4066920</v>
      </c>
      <c r="AF60" s="1130" t="s">
        <v>2653</v>
      </c>
      <c r="AG60" s="1064" t="str">
        <f>IF(AND(AQ60&lt;&gt;"対象外", P60&lt;&gt;""),ROUNDDOWN(ROUND(L60*VLOOKUP(K60,【参考】数式用２!$A$2:$K$48,MATCH("ベア加算あり",【参考】数式用２!$C$4:$K$4,0)+2,0),0)*M60,0)*AB60,"")</f>
        <v/>
      </c>
      <c r="AH60" s="1133"/>
      <c r="AI60" s="1130" t="s">
        <v>389</v>
      </c>
      <c r="AJ60" s="1130" t="s">
        <v>2653</v>
      </c>
      <c r="AK60" s="1136">
        <v>1</v>
      </c>
      <c r="AL60" s="1139" t="s">
        <v>397</v>
      </c>
      <c r="AM60" s="681" t="str">
        <f>IF(Q60="","",IF(Q60&lt;O60,"！加算の要件上は問題ありませんが、令和６年度末の加算率と比較して、令和７年度の加算率が低くなっています。",""))</f>
        <v/>
      </c>
      <c r="AN60" s="371"/>
      <c r="AO60" s="1125" t="str">
        <f>IF(K60&lt;&gt;"","Q列に色付け","")</f>
        <v>Q列に色付け</v>
      </c>
      <c r="AP60" s="1142" t="str">
        <f>IF(AND(AE60&lt;&gt;0,AE60&lt;&gt;""),IF(AF60="○","入力済","未入力"),"")</f>
        <v>入力済</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対象</v>
      </c>
      <c r="AV60" s="843">
        <f>IF(AND(P60&lt;&gt;"処遇改善加算Ⅲ",P60&lt;&gt;"処遇改善加算Ⅳ", P60&lt;&gt;"", AU60&lt;&gt;"対象外"), 1,"")</f>
        <v>1</v>
      </c>
      <c r="AW60" s="843" t="str">
        <f>IFERROR("_"&amp;VLOOKUP(K60, 【参考】数式用２!$AG$2:$AH$48, 2, FALSE), "")</f>
        <v>_33</v>
      </c>
      <c r="AX60" s="1143" t="str">
        <f>IF(AND(P60="処遇改善加算Ⅰ", AL60=""), "未入力","入力済")</f>
        <v>入力済</v>
      </c>
      <c r="AY60" s="1125" t="str">
        <f>G60</f>
        <v>奈良県</v>
      </c>
      <c r="AZ60"/>
      <c r="BA60"/>
      <c r="BB60"/>
      <c r="BC60"/>
      <c r="BD60"/>
      <c r="BE60"/>
      <c r="BF60"/>
      <c r="BG60"/>
    </row>
    <row r="61" spans="1:59" ht="14.4">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1"/>
      <c r="AO61" s="1126"/>
      <c r="AP61" s="1142"/>
      <c r="AQ61" s="981"/>
      <c r="AR61" s="843"/>
      <c r="AS61" s="843"/>
      <c r="AT61" s="843"/>
      <c r="AU61" s="843"/>
      <c r="AV61" s="843"/>
      <c r="AW61" s="843"/>
      <c r="AX61" s="1143"/>
      <c r="AY61" s="1126"/>
      <c r="AZ61"/>
      <c r="BA61"/>
      <c r="BB61"/>
      <c r="BC61"/>
      <c r="BD61"/>
      <c r="BE61"/>
      <c r="BF61"/>
      <c r="BG61"/>
    </row>
    <row r="62" spans="1:59" ht="14.4">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71"/>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682"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1"/>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1111111120</v>
      </c>
      <c r="C64" s="1110"/>
      <c r="D64" s="1110"/>
      <c r="E64" s="1110"/>
      <c r="F64" s="1110"/>
      <c r="G64" s="1110" t="str">
        <f>IF(基本情報入力シート!L53="", "",基本情報入力シート!L53)</f>
        <v>奈良県</v>
      </c>
      <c r="H64" s="1110" t="str">
        <f>IF(基本情報入力シート!Q53="", "",基本情報入力シート!Q53)</f>
        <v>奈良県</v>
      </c>
      <c r="I64" s="1110" t="str">
        <f>IF(基本情報入力シート!V53="", "",基本情報入力シート!V53)</f>
        <v>奈良市</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10.27</v>
      </c>
      <c r="N64" s="1076" t="s">
        <v>405</v>
      </c>
      <c r="O64" s="1061">
        <f>IFERROR(VLOOKUP(K64,【参考】数式用２!$A$2:$AD$48,MATCH(N64,【参考】数式用２!$C$4:$AD$4,0)+2,0),"")</f>
        <v>6.4000000000000001E-2</v>
      </c>
      <c r="P64" s="1144" t="s">
        <v>384</v>
      </c>
      <c r="Q64" s="1147">
        <f>IFERROR(VLOOKUP(K64,【参考】数式用２!$A$2:$AC$48,MATCH(P64,【参考】数式用２!$C$4:$AC$4,0)+2,0),"")</f>
        <v>0.128</v>
      </c>
      <c r="R64" s="1150" t="s">
        <v>301</v>
      </c>
      <c r="S64" s="1153">
        <v>7</v>
      </c>
      <c r="T64" s="1070" t="s">
        <v>385</v>
      </c>
      <c r="U64" s="1153">
        <v>4</v>
      </c>
      <c r="V64" s="1070" t="s">
        <v>386</v>
      </c>
      <c r="W64" s="1153">
        <v>8</v>
      </c>
      <c r="X64" s="1070" t="s">
        <v>385</v>
      </c>
      <c r="Y64" s="1153">
        <v>3</v>
      </c>
      <c r="Z64" s="1070" t="s">
        <v>387</v>
      </c>
      <c r="AA64" s="1070" t="s">
        <v>209</v>
      </c>
      <c r="AB64" s="1070">
        <f>IF(S64&gt;=1,(W64*12+Y64)-(S64*12+U64)+1,"")</f>
        <v>12</v>
      </c>
      <c r="AC64" s="1073" t="s">
        <v>388</v>
      </c>
      <c r="AD64" s="1064">
        <f>IFERROR(ROUNDDOWN(ROUND(L64*Q64,0)*M64,0)*AB64,"")</f>
        <v>11831040</v>
      </c>
      <c r="AE64" s="1067">
        <f>IFERROR(ROUNDDOWN(ROUNDDOWN(ROUND(L64*VLOOKUP(K64,【参考】数式用２!$A$2:$AC$48,MATCH("処遇改善加算Ⅳ",【参考】数式用２!$C$4:$O$4,0)+2,0),0)*M64,0)*AB64*0.5,0), "")</f>
        <v>4066920</v>
      </c>
      <c r="AF64" s="1130" t="s">
        <v>2653</v>
      </c>
      <c r="AG64" s="1064">
        <f>IF(AND(AQ64&lt;&gt;"対象外", P64&lt;&gt;""),ROUNDDOWN(ROUND(L64*VLOOKUP(K64,【参考】数式用２!$A$2:$K$48,MATCH("ベア加算あり",【参考】数式用２!$C$4:$K$4,0)+2,0),0)*M64,0)*AB64,"")</f>
        <v>1386444</v>
      </c>
      <c r="AH64" s="1133" t="s">
        <v>2653</v>
      </c>
      <c r="AI64" s="1130" t="s">
        <v>389</v>
      </c>
      <c r="AJ64" s="1130" t="s">
        <v>389</v>
      </c>
      <c r="AK64" s="1136"/>
      <c r="AL64" s="1139" t="s">
        <v>397</v>
      </c>
      <c r="AM64" s="681" t="str">
        <f>IF(Q64="","",IF(Q64&lt;O64,"！加算の要件上は問題ありませんが、令和６年度末の加算率と比較して、令和７年度の加算率が低くなっています。",""))</f>
        <v/>
      </c>
      <c r="AN64" s="371"/>
      <c r="AO64" s="1125" t="str">
        <f>IF(K64&lt;&gt;"","Q列に色付け","")</f>
        <v>Q列に色付け</v>
      </c>
      <c r="AP64" s="1142" t="str">
        <f>IF(AND(AE64&lt;&gt;0,AE64&lt;&gt;""),IF(AF64="○","入力済","未入力"),"")</f>
        <v>入力済</v>
      </c>
      <c r="AQ64" s="980" t="str">
        <f>IFERROR((VLOOKUP(N64, 【参考】数式用２!$BE$5:$BE$13, 1,FALSE)), "対象外")</f>
        <v>処遇改善加算Ⅴ（10）</v>
      </c>
      <c r="AR64" s="843" t="str">
        <f>IF(AG64&lt;&gt;"",IF(AH64="○","入力済","未入力"),"")</f>
        <v>入力済</v>
      </c>
      <c r="AS64" s="843" t="str">
        <f>IF(AND(P64&lt;&gt;"", AI64=""), "未入力", "入力済")</f>
        <v>入力済</v>
      </c>
      <c r="AT64" s="843" t="str">
        <f>IF(AND(P64&lt;&gt;"", P64&lt;&gt;"処遇改善加算Ⅳ", AJ64=""), "未入力", "入力済")</f>
        <v>入力済</v>
      </c>
      <c r="AU64" s="843" t="str">
        <f>IFERROR(VLOOKUP(K64, 【参考】数式用２!$BB$5:$BC$48, 2, FALSE), "")</f>
        <v>対象外</v>
      </c>
      <c r="AV64" s="843" t="str">
        <f>IF(AND(P64&lt;&gt;"処遇改善加算Ⅲ",P64&lt;&gt;"処遇改善加算Ⅳ", P64&lt;&gt;"", AU64&lt;&gt;"対象外"), 1,"")</f>
        <v/>
      </c>
      <c r="AW64" s="843" t="str">
        <f>IFERROR("_"&amp;VLOOKUP(K64, 【参考】数式用２!$AG$2:$AH$48, 2, FALSE), "")</f>
        <v>_27</v>
      </c>
      <c r="AX64" s="1143" t="str">
        <f>IF(AND(P64="処遇改善加算Ⅰ", AL64=""), "未入力","入力済")</f>
        <v>入力済</v>
      </c>
      <c r="AY64" s="1125" t="str">
        <f>G64</f>
        <v>奈良県</v>
      </c>
      <c r="AZ64"/>
      <c r="BA64"/>
      <c r="BB64"/>
      <c r="BC64"/>
      <c r="BD64"/>
      <c r="BE64"/>
      <c r="BF64"/>
      <c r="BG64"/>
    </row>
    <row r="65" spans="1:59" ht="14.4">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1"/>
      <c r="AO65" s="1126"/>
      <c r="AP65" s="1142"/>
      <c r="AQ65" s="981"/>
      <c r="AR65" s="843"/>
      <c r="AS65" s="843"/>
      <c r="AT65" s="843"/>
      <c r="AU65" s="843"/>
      <c r="AV65" s="843"/>
      <c r="AW65" s="843"/>
      <c r="AX65" s="1143"/>
      <c r="AY65" s="1126"/>
      <c r="AZ65"/>
      <c r="BA65"/>
      <c r="BB65"/>
      <c r="BC65"/>
      <c r="BD65"/>
      <c r="BE65"/>
      <c r="BF65"/>
      <c r="BG65"/>
    </row>
    <row r="66" spans="1:59" ht="14.4">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71"/>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682"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1"/>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1111111121</v>
      </c>
      <c r="C68" s="1110"/>
      <c r="D68" s="1110"/>
      <c r="E68" s="1110"/>
      <c r="F68" s="1110"/>
      <c r="G68" s="1110" t="str">
        <f>IF(基本情報入力シート!L54="", "",基本情報入力シート!L54)</f>
        <v>奈良県</v>
      </c>
      <c r="H68" s="1110" t="str">
        <f>IF(基本情報入力シート!Q54="", "",基本情報入力シート!Q54)</f>
        <v>奈良県</v>
      </c>
      <c r="I68" s="1110" t="str">
        <f>IF(基本情報入力シート!V54="", "",基本情報入力シート!V54)</f>
        <v>奈良市</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10.27</v>
      </c>
      <c r="N68" s="1076" t="s">
        <v>406</v>
      </c>
      <c r="O68" s="1061">
        <f>IFERROR(VLOOKUP(K68,【参考】数式用２!$A$2:$AD$48,MATCH(N68,【参考】数式用２!$C$4:$AD$4,0)+2,0),"")</f>
        <v>7.2999999999999995E-2</v>
      </c>
      <c r="P68" s="1144" t="s">
        <v>384</v>
      </c>
      <c r="Q68" s="1147">
        <f>IFERROR(VLOOKUP(K68,【参考】数式用２!$A$2:$AC$48,MATCH(P68,【参考】数式用２!$C$4:$AC$4,0)+2,0),"")</f>
        <v>0.128</v>
      </c>
      <c r="R68" s="1150" t="s">
        <v>301</v>
      </c>
      <c r="S68" s="1153">
        <v>7</v>
      </c>
      <c r="T68" s="1070" t="s">
        <v>385</v>
      </c>
      <c r="U68" s="1153">
        <v>4</v>
      </c>
      <c r="V68" s="1070" t="s">
        <v>386</v>
      </c>
      <c r="W68" s="1153">
        <v>8</v>
      </c>
      <c r="X68" s="1070" t="s">
        <v>385</v>
      </c>
      <c r="Y68" s="1153">
        <v>3</v>
      </c>
      <c r="Z68" s="1070" t="s">
        <v>387</v>
      </c>
      <c r="AA68" s="1070" t="s">
        <v>209</v>
      </c>
      <c r="AB68" s="1070">
        <f>IF(S68&gt;=1,(W68*12+Y68)-(S68*12+U68)+1,"")</f>
        <v>12</v>
      </c>
      <c r="AC68" s="1073" t="s">
        <v>388</v>
      </c>
      <c r="AD68" s="1064">
        <f>IFERROR(ROUNDDOWN(ROUND(L68*Q68,0)*M68,0)*AB68,"")</f>
        <v>11831040</v>
      </c>
      <c r="AE68" s="1067">
        <f>IFERROR(ROUNDDOWN(ROUNDDOWN(ROUND(L68*VLOOKUP(K68,【参考】数式用２!$A$2:$AC$48,MATCH("処遇改善加算Ⅳ",【参考】数式用２!$C$4:$O$4,0)+2,0),0)*M68,0)*AB68*0.5,0), "")</f>
        <v>4066920</v>
      </c>
      <c r="AF68" s="1130" t="s">
        <v>2653</v>
      </c>
      <c r="AG68" s="1064">
        <f>IF(AND(AQ68&lt;&gt;"対象外", P68&lt;&gt;""),ROUNDDOWN(ROUND(L68*VLOOKUP(K68,【参考】数式用２!$A$2:$K$48,MATCH("ベア加算あり",【参考】数式用２!$C$4:$K$4,0)+2,0),0)*M68,0)*AB68,"")</f>
        <v>1386444</v>
      </c>
      <c r="AH68" s="1133" t="s">
        <v>2653</v>
      </c>
      <c r="AI68" s="1130" t="s">
        <v>2653</v>
      </c>
      <c r="AJ68" s="1130" t="s">
        <v>389</v>
      </c>
      <c r="AK68" s="1136"/>
      <c r="AL68" s="1139" t="s">
        <v>397</v>
      </c>
      <c r="AM68" s="681" t="str">
        <f>IF(Q68="","",IF(Q68&lt;O68,"！加算の要件上は問題ありませんが、令和６年度末の加算率と比較して、令和７年度の加算率が低くなっています。",""))</f>
        <v/>
      </c>
      <c r="AN68" s="371"/>
      <c r="AO68" s="1125" t="str">
        <f>IF(K68&lt;&gt;"","Q列に色付け","")</f>
        <v>Q列に色付け</v>
      </c>
      <c r="AP68" s="1142" t="str">
        <f>IF(AND(AE68&lt;&gt;0,AE68&lt;&gt;""),IF(AF68="○","入力済","未入力"),"")</f>
        <v>入力済</v>
      </c>
      <c r="AQ68" s="980" t="str">
        <f>IFERROR((VLOOKUP(N68, 【参考】数式用２!$BE$5:$BE$13, 1,FALSE)), "対象外")</f>
        <v>処遇改善加算Ⅴ（11）</v>
      </c>
      <c r="AR68" s="843" t="str">
        <f>IF(AG68&lt;&gt;"",IF(AH68="○","入力済","未入力"),"")</f>
        <v>入力済</v>
      </c>
      <c r="AS68" s="843" t="str">
        <f>IF(AND(P68&lt;&gt;"", AI68=""), "未入力", "入力済")</f>
        <v>入力済</v>
      </c>
      <c r="AT68" s="843" t="str">
        <f>IF(AND(P68&lt;&gt;"", P68&lt;&gt;"処遇改善加算Ⅳ", AJ68=""), "未入力", "入力済")</f>
        <v>入力済</v>
      </c>
      <c r="AU68" s="843" t="str">
        <f>IFERROR(VLOOKUP(K68, 【参考】数式用２!$BB$5:$BC$48, 2, FALSE), "")</f>
        <v>対象外</v>
      </c>
      <c r="AV68" s="843" t="str">
        <f>IF(AND(P68&lt;&gt;"処遇改善加算Ⅲ",P68&lt;&gt;"処遇改善加算Ⅳ", P68&lt;&gt;"", AU68&lt;&gt;"対象外"), 1,"")</f>
        <v/>
      </c>
      <c r="AW68" s="843" t="str">
        <f>IFERROR("_"&amp;VLOOKUP(K68, 【参考】数式用２!$AG$2:$AH$48, 2, FALSE), "")</f>
        <v>_35</v>
      </c>
      <c r="AX68" s="1143" t="str">
        <f>IF(AND(P68="処遇改善加算Ⅰ", AL68=""), "未入力","入力済")</f>
        <v>入力済</v>
      </c>
      <c r="AY68" s="1125" t="str">
        <f>G68</f>
        <v>奈良県</v>
      </c>
      <c r="AZ68"/>
      <c r="BA68"/>
      <c r="BB68"/>
      <c r="BC68"/>
      <c r="BD68"/>
      <c r="BE68"/>
      <c r="BF68"/>
      <c r="BG68"/>
    </row>
    <row r="69" spans="1:59" ht="14.4">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1"/>
      <c r="AO69" s="1126"/>
      <c r="AP69" s="1142"/>
      <c r="AQ69" s="981"/>
      <c r="AR69" s="843"/>
      <c r="AS69" s="843"/>
      <c r="AT69" s="843"/>
      <c r="AU69" s="843"/>
      <c r="AV69" s="843"/>
      <c r="AW69" s="843"/>
      <c r="AX69" s="1143"/>
      <c r="AY69" s="1126"/>
      <c r="AZ69"/>
      <c r="BA69"/>
      <c r="BB69"/>
      <c r="BC69"/>
      <c r="BD69"/>
      <c r="BE69"/>
      <c r="BF69"/>
      <c r="BG69"/>
    </row>
    <row r="70" spans="1:59" ht="14.4">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71"/>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682"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1"/>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1111111122</v>
      </c>
      <c r="C72" s="1110"/>
      <c r="D72" s="1110"/>
      <c r="E72" s="1110"/>
      <c r="F72" s="1110"/>
      <c r="G72" s="1110" t="str">
        <f>IF(基本情報入力シート!L55="", "",基本情報入力シート!L55)</f>
        <v>橿原市</v>
      </c>
      <c r="H72" s="1110" t="str">
        <f>IF(基本情報入力シート!Q55="", "",基本情報入力シート!Q55)</f>
        <v>奈良県</v>
      </c>
      <c r="I72" s="1110" t="str">
        <f>IF(基本情報入力シート!V55="", "",基本情報入力シート!V55)</f>
        <v>橿原市</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10.14</v>
      </c>
      <c r="N72" s="1076" t="s">
        <v>407</v>
      </c>
      <c r="O72" s="1061">
        <f>IFERROR(VLOOKUP(K72,【参考】数式用２!$A$2:$AD$48,MATCH(N72,【参考】数式用２!$C$4:$AD$4,0)+2,0),"")</f>
        <v>5.7999999999999996E-2</v>
      </c>
      <c r="P72" s="1144" t="s">
        <v>384</v>
      </c>
      <c r="Q72" s="1147">
        <f>IFERROR(VLOOKUP(K72,【参考】数式用２!$A$2:$AC$48,MATCH(P72,【参考】数式用２!$C$4:$AC$4,0)+2,0),"")</f>
        <v>0.128</v>
      </c>
      <c r="R72" s="1150" t="s">
        <v>301</v>
      </c>
      <c r="S72" s="1153">
        <v>7</v>
      </c>
      <c r="T72" s="1070" t="s">
        <v>385</v>
      </c>
      <c r="U72" s="1153">
        <v>4</v>
      </c>
      <c r="V72" s="1070" t="s">
        <v>386</v>
      </c>
      <c r="W72" s="1153">
        <v>8</v>
      </c>
      <c r="X72" s="1070" t="s">
        <v>385</v>
      </c>
      <c r="Y72" s="1153">
        <v>3</v>
      </c>
      <c r="Z72" s="1070" t="s">
        <v>387</v>
      </c>
      <c r="AA72" s="1070" t="s">
        <v>209</v>
      </c>
      <c r="AB72" s="1070">
        <f>IF(S72&gt;=1,(W72*12+Y72)-(S72*12+U72)+1,"")</f>
        <v>12</v>
      </c>
      <c r="AC72" s="1073" t="s">
        <v>388</v>
      </c>
      <c r="AD72" s="1064">
        <f>IFERROR(ROUNDDOWN(ROUND(L72*Q72,0)*M72,0)*AB72,"")</f>
        <v>11681280</v>
      </c>
      <c r="AE72" s="1067">
        <f>IFERROR(ROUNDDOWN(ROUNDDOWN(ROUND(L72*VLOOKUP(K72,【参考】数式用２!$A$2:$AC$48,MATCH("処遇改善加算Ⅳ",【参考】数式用２!$C$4:$O$4,0)+2,0),0)*M72,0)*AB72*0.5,0), "")</f>
        <v>4015440</v>
      </c>
      <c r="AF72" s="1130" t="s">
        <v>2653</v>
      </c>
      <c r="AG72" s="1064">
        <f>IF(AND(AQ72&lt;&gt;"対象外", P72&lt;&gt;""),ROUNDDOWN(ROUND(L72*VLOOKUP(K72,【参考】数式用２!$A$2:$K$48,MATCH("ベア加算あり",【参考】数式用２!$C$4:$K$4,0)+2,0),0)*M72,0)*AB72,"")</f>
        <v>1368900</v>
      </c>
      <c r="AH72" s="1133" t="s">
        <v>2653</v>
      </c>
      <c r="AI72" s="1130" t="s">
        <v>2653</v>
      </c>
      <c r="AJ72" s="1130" t="s">
        <v>2653</v>
      </c>
      <c r="AK72" s="1136">
        <v>1</v>
      </c>
      <c r="AL72" s="1139" t="s">
        <v>397</v>
      </c>
      <c r="AM72" s="681" t="str">
        <f>IF(Q72="","",IF(Q72&lt;O72,"！加算の要件上は問題ありませんが、令和６年度末の加算率と比較して、令和７年度の加算率が低くなっています。",""))</f>
        <v/>
      </c>
      <c r="AN72" s="371"/>
      <c r="AO72" s="1125" t="str">
        <f>IF(K72&lt;&gt;"","Q列に色付け","")</f>
        <v>Q列に色付け</v>
      </c>
      <c r="AP72" s="1142" t="str">
        <f>IF(AND(AE72&lt;&gt;0,AE72&lt;&gt;""),IF(AF72="○","入力済","未入力"),"")</f>
        <v>入力済</v>
      </c>
      <c r="AQ72" s="980" t="str">
        <f>IFERROR((VLOOKUP(N72, 【参考】数式用２!$BE$5:$BE$13, 1,FALSE)), "対象外")</f>
        <v>処遇改善加算Ⅴ（12）</v>
      </c>
      <c r="AR72" s="843" t="str">
        <f>IF(AG72&lt;&gt;"",IF(AH72="○","入力済","未入力"),"")</f>
        <v>入力済</v>
      </c>
      <c r="AS72" s="843" t="str">
        <f>IF(AND(P72&lt;&gt;"", AI72=""), "未入力", "入力済")</f>
        <v>入力済</v>
      </c>
      <c r="AT72" s="843" t="str">
        <f>IF(AND(P72&lt;&gt;"", P72&lt;&gt;"処遇改善加算Ⅳ", AJ72=""), "未入力", "入力済")</f>
        <v>入力済</v>
      </c>
      <c r="AU72" s="843" t="str">
        <f>IFERROR(VLOOKUP(K72, 【参考】数式用２!$BB$5:$BC$48, 2, FALSE), "")</f>
        <v>対象</v>
      </c>
      <c r="AV72" s="843">
        <f>IF(AND(P72&lt;&gt;"処遇改善加算Ⅲ",P72&lt;&gt;"処遇改善加算Ⅳ", P72&lt;&gt;"", AU72&lt;&gt;"対象外"), 1,"")</f>
        <v>1</v>
      </c>
      <c r="AW72" s="843" t="str">
        <f>IFERROR("_"&amp;VLOOKUP(K72, 【参考】数式用２!$AG$2:$AH$48, 2, FALSE), "")</f>
        <v>_36</v>
      </c>
      <c r="AX72" s="1143" t="str">
        <f>IF(AND(P72="処遇改善加算Ⅰ", AL72=""), "未入力","入力済")</f>
        <v>入力済</v>
      </c>
      <c r="AY72" s="1125" t="str">
        <f>G72</f>
        <v>橿原市</v>
      </c>
      <c r="AZ72"/>
      <c r="BA72"/>
      <c r="BB72"/>
      <c r="BC72"/>
      <c r="BD72"/>
      <c r="BE72"/>
      <c r="BF72"/>
      <c r="BG72"/>
    </row>
    <row r="73" spans="1:59" ht="14.4">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1"/>
      <c r="AO73" s="1126"/>
      <c r="AP73" s="1142"/>
      <c r="AQ73" s="981"/>
      <c r="AR73" s="843"/>
      <c r="AS73" s="843"/>
      <c r="AT73" s="843"/>
      <c r="AU73" s="843"/>
      <c r="AV73" s="843"/>
      <c r="AW73" s="843"/>
      <c r="AX73" s="1143"/>
      <c r="AY73" s="1126"/>
      <c r="AZ73"/>
      <c r="BA73"/>
      <c r="BB73"/>
      <c r="BC73"/>
      <c r="BD73"/>
      <c r="BE73"/>
      <c r="BF73"/>
      <c r="BG73"/>
    </row>
    <row r="74" spans="1:59" ht="14.4">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71"/>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682"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1"/>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1111111123</v>
      </c>
      <c r="C76" s="1110"/>
      <c r="D76" s="1110"/>
      <c r="E76" s="1110"/>
      <c r="F76" s="1110"/>
      <c r="G76" s="1110" t="str">
        <f>IF(基本情報入力シート!L56="", "",基本情報入力シート!L56)</f>
        <v>橿原市</v>
      </c>
      <c r="H76" s="1110" t="str">
        <f>IF(基本情報入力シート!Q56="", "",基本情報入力シート!Q56)</f>
        <v>奈良県</v>
      </c>
      <c r="I76" s="1110" t="str">
        <f>IF(基本情報入力シート!V56="", "",基本情報入力シート!V56)</f>
        <v>橿原市</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10.14</v>
      </c>
      <c r="N76" s="1076" t="s">
        <v>408</v>
      </c>
      <c r="O76" s="1061">
        <f>IFERROR(VLOOKUP(K76,【参考】数式用２!$A$2:$AD$48,MATCH(N76,【参考】数式用２!$C$4:$AD$4,0)+2,0),"")</f>
        <v>6.0999999999999999E-2</v>
      </c>
      <c r="P76" s="1144" t="s">
        <v>384</v>
      </c>
      <c r="Q76" s="1147">
        <f>IFERROR(VLOOKUP(K76,【参考】数式用２!$A$2:$AC$48,MATCH(P76,【参考】数式用２!$C$4:$AC$4,0)+2,0),"")</f>
        <v>0.128</v>
      </c>
      <c r="R76" s="1150" t="s">
        <v>301</v>
      </c>
      <c r="S76" s="1153">
        <v>7</v>
      </c>
      <c r="T76" s="1070" t="s">
        <v>385</v>
      </c>
      <c r="U76" s="1153">
        <v>4</v>
      </c>
      <c r="V76" s="1070" t="s">
        <v>386</v>
      </c>
      <c r="W76" s="1153">
        <v>8</v>
      </c>
      <c r="X76" s="1070" t="s">
        <v>385</v>
      </c>
      <c r="Y76" s="1153">
        <v>3</v>
      </c>
      <c r="Z76" s="1070" t="s">
        <v>387</v>
      </c>
      <c r="AA76" s="1070" t="s">
        <v>209</v>
      </c>
      <c r="AB76" s="1070">
        <f>IF(S76&gt;=1,(W76*12+Y76)-(S76*12+U76)+1,"")</f>
        <v>12</v>
      </c>
      <c r="AC76" s="1073" t="s">
        <v>388</v>
      </c>
      <c r="AD76" s="1064">
        <f>IFERROR(ROUNDDOWN(ROUND(L76*Q76,0)*M76,0)*AB76,"")</f>
        <v>11681280</v>
      </c>
      <c r="AE76" s="1067">
        <f>IFERROR(ROUNDDOWN(ROUNDDOWN(ROUND(L76*VLOOKUP(K76,【参考】数式用２!$A$2:$AC$48,MATCH("処遇改善加算Ⅳ",【参考】数式用２!$C$4:$O$4,0)+2,0),0)*M76,0)*AB76*0.5,0), "")</f>
        <v>4015440</v>
      </c>
      <c r="AF76" s="1130" t="s">
        <v>2653</v>
      </c>
      <c r="AG76" s="1064" t="str">
        <f>IF(AND(AQ76&lt;&gt;"対象外", P76&lt;&gt;""),ROUNDDOWN(ROUND(L76*VLOOKUP(K76,【参考】数式用２!$A$2:$K$48,MATCH("ベア加算あり",【参考】数式用２!$C$4:$K$4,0)+2,0),0)*M76,0)*AB76,"")</f>
        <v/>
      </c>
      <c r="AH76" s="1133"/>
      <c r="AI76" s="1130" t="s">
        <v>389</v>
      </c>
      <c r="AJ76" s="1130" t="s">
        <v>389</v>
      </c>
      <c r="AK76" s="1136"/>
      <c r="AL76" s="1139" t="s">
        <v>397</v>
      </c>
      <c r="AM76" s="681" t="str">
        <f>IF(Q76="","",IF(Q76&lt;O76,"！加算の要件上は問題ありませんが、令和６年度末の加算率と比較して、令和７年度の加算率が低くなっています。",""))</f>
        <v/>
      </c>
      <c r="AN76" s="371"/>
      <c r="AO76" s="1125" t="str">
        <f>IF(K76&lt;&gt;"","Q列に色付け","")</f>
        <v>Q列に色付け</v>
      </c>
      <c r="AP76" s="1142" t="str">
        <f>IF(AND(AE76&lt;&gt;0,AE76&lt;&gt;""),IF(AF76="○","入力済","未入力"),"")</f>
        <v>入力済</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対象外</v>
      </c>
      <c r="AV76" s="843" t="str">
        <f>IF(AND(P76&lt;&gt;"処遇改善加算Ⅲ",P76&lt;&gt;"処遇改善加算Ⅳ", P76&lt;&gt;"", AU76&lt;&gt;"対象外"), 1,"")</f>
        <v/>
      </c>
      <c r="AW76" s="843" t="str">
        <f>IFERROR("_"&amp;VLOOKUP(K76, 【参考】数式用２!$AG$2:$AH$48, 2, FALSE), "")</f>
        <v>_28</v>
      </c>
      <c r="AX76" s="1143" t="str">
        <f>IF(AND(P76="処遇改善加算Ⅰ", AL76=""), "未入力","入力済")</f>
        <v>入力済</v>
      </c>
      <c r="AY76" s="1125" t="str">
        <f>G76</f>
        <v>橿原市</v>
      </c>
      <c r="AZ76"/>
      <c r="BA76"/>
      <c r="BB76"/>
      <c r="BC76"/>
      <c r="BD76"/>
      <c r="BE76"/>
      <c r="BF76"/>
      <c r="BG76"/>
    </row>
    <row r="77" spans="1:59" ht="14.4">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1"/>
      <c r="AO77" s="1126"/>
      <c r="AP77" s="1142"/>
      <c r="AQ77" s="981"/>
      <c r="AR77" s="843"/>
      <c r="AS77" s="843"/>
      <c r="AT77" s="843"/>
      <c r="AU77" s="843"/>
      <c r="AV77" s="843"/>
      <c r="AW77" s="843"/>
      <c r="AX77" s="1143"/>
      <c r="AY77" s="1126"/>
      <c r="AZ77"/>
      <c r="BA77"/>
      <c r="BB77"/>
      <c r="BC77"/>
      <c r="BD77"/>
      <c r="BE77"/>
      <c r="BF77"/>
      <c r="BG77"/>
    </row>
    <row r="78" spans="1:59" ht="14.4">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71"/>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682"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1"/>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1111111124</v>
      </c>
      <c r="C80" s="1110"/>
      <c r="D80" s="1110"/>
      <c r="E80" s="1110"/>
      <c r="F80" s="1110"/>
      <c r="G80" s="1110" t="str">
        <f>IF(基本情報入力シート!L57="", "",基本情報入力シート!L57)</f>
        <v>桜井市</v>
      </c>
      <c r="H80" s="1110" t="str">
        <f>IF(基本情報入力シート!Q57="", "",基本情報入力シート!Q57)</f>
        <v>奈良県</v>
      </c>
      <c r="I80" s="1110" t="str">
        <f>IF(基本情報入力シート!V57="", "",基本情報入力シート!V57)</f>
        <v>桜井市</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10.17</v>
      </c>
      <c r="N80" s="1076" t="s">
        <v>409</v>
      </c>
      <c r="O80" s="1061">
        <f>IFERROR(VLOOKUP(K80,【参考】数式用２!$A$2:$AD$48,MATCH(N80,【参考】数式用２!$C$4:$AD$4,0)+2,0),"")</f>
        <v>6.5000000000000002E-2</v>
      </c>
      <c r="P80" s="1144" t="s">
        <v>384</v>
      </c>
      <c r="Q80" s="1147">
        <f>IFERROR(VLOOKUP(K80,【参考】数式用２!$A$2:$AC$48,MATCH(P80,【参考】数式用２!$C$4:$AC$4,0)+2,0),"")</f>
        <v>0.18099999999999999</v>
      </c>
      <c r="R80" s="1150" t="s">
        <v>301</v>
      </c>
      <c r="S80" s="1153">
        <v>7</v>
      </c>
      <c r="T80" s="1070" t="s">
        <v>385</v>
      </c>
      <c r="U80" s="1153">
        <v>4</v>
      </c>
      <c r="V80" s="1070" t="s">
        <v>386</v>
      </c>
      <c r="W80" s="1153">
        <v>8</v>
      </c>
      <c r="X80" s="1070" t="s">
        <v>385</v>
      </c>
      <c r="Y80" s="1153">
        <v>3</v>
      </c>
      <c r="Z80" s="1070" t="s">
        <v>387</v>
      </c>
      <c r="AA80" s="1070" t="s">
        <v>209</v>
      </c>
      <c r="AB80" s="1070">
        <f>IF(S80&gt;=1,(W80*12+Y80)-(S80*12+U80)+1,"")</f>
        <v>12</v>
      </c>
      <c r="AC80" s="1073" t="s">
        <v>388</v>
      </c>
      <c r="AD80" s="1064">
        <f>IFERROR(ROUNDDOWN(ROUND(L80*Q80,0)*M80,0)*AB80,"")</f>
        <v>16566924</v>
      </c>
      <c r="AE80" s="1067">
        <f>IFERROR(ROUNDDOWN(ROUNDDOWN(ROUND(L80*VLOOKUP(K80,【参考】数式用２!$A$2:$AC$48,MATCH("処遇改善加算Ⅳ",【参考】数式用２!$C$4:$O$4,0)+2,0),0)*M80,0)*AB80*0.5,0), "")</f>
        <v>5583330</v>
      </c>
      <c r="AF80" s="1130" t="s">
        <v>2653</v>
      </c>
      <c r="AG80" s="1064">
        <f>IF(AND(AQ80&lt;&gt;"対象外", P80&lt;&gt;""),ROUNDDOWN(ROUND(L80*VLOOKUP(K80,【参考】数式用２!$A$2:$K$48,MATCH("ベア加算あり",【参考】数式用２!$C$4:$K$4,0)+2,0),0)*M80,0)*AB80,"")</f>
        <v>2105184</v>
      </c>
      <c r="AH80" s="1133" t="s">
        <v>2653</v>
      </c>
      <c r="AI80" s="1130" t="s">
        <v>389</v>
      </c>
      <c r="AJ80" s="1130" t="s">
        <v>389</v>
      </c>
      <c r="AK80" s="1136">
        <v>1</v>
      </c>
      <c r="AL80" s="1139" t="s">
        <v>397</v>
      </c>
      <c r="AM80" s="681" t="str">
        <f>IF(Q80="","",IF(Q80&lt;O80,"！加算の要件上は問題ありませんが、令和６年度末の加算率と比較して、令和７年度の加算率が低くなっています。",""))</f>
        <v/>
      </c>
      <c r="AN80" s="371"/>
      <c r="AO80" s="1125" t="str">
        <f>IF(K80&lt;&gt;"","Q列に色付け","")</f>
        <v>Q列に色付け</v>
      </c>
      <c r="AP80" s="1142" t="str">
        <f>IF(AND(AE80&lt;&gt;0,AE80&lt;&gt;""),IF(AF80="○","入力済","未入力"),"")</f>
        <v>入力済</v>
      </c>
      <c r="AQ80" s="980" t="str">
        <f>IFERROR((VLOOKUP(N80, 【参考】数式用２!$BE$5:$BE$13, 1,FALSE)), "対象外")</f>
        <v>処遇改善加算Ⅴ（14）</v>
      </c>
      <c r="AR80" s="843" t="str">
        <f>IF(AG80&lt;&gt;"",IF(AH80="○","入力済","未入力"),"")</f>
        <v>入力済</v>
      </c>
      <c r="AS80" s="843" t="str">
        <f>IF(AND(P80&lt;&gt;"", AI80=""), "未入力", "入力済")</f>
        <v>入力済</v>
      </c>
      <c r="AT80" s="843" t="str">
        <f>IF(AND(P80&lt;&gt;"", P80&lt;&gt;"処遇改善加算Ⅳ", AJ80=""), "未入力", "入力済")</f>
        <v>入力済</v>
      </c>
      <c r="AU80" s="843" t="str">
        <f>IFERROR(VLOOKUP(K80, 【参考】数式用２!$BB$5:$BC$48, 2, FALSE), "")</f>
        <v>対象</v>
      </c>
      <c r="AV80" s="843">
        <f>IF(AND(P80&lt;&gt;"処遇改善加算Ⅲ",P80&lt;&gt;"処遇改善加算Ⅳ", P80&lt;&gt;"", AU80&lt;&gt;"対象外"), 1,"")</f>
        <v>1</v>
      </c>
      <c r="AW80" s="843" t="str">
        <f>IFERROR("_"&amp;VLOOKUP(K80, 【参考】数式用２!$AG$2:$AH$48, 2, FALSE), "")</f>
        <v>_72</v>
      </c>
      <c r="AX80" s="1143" t="str">
        <f>IF(AND(P80="処遇改善加算Ⅰ", AL80=""), "未入力","入力済")</f>
        <v>入力済</v>
      </c>
      <c r="AY80" s="1125" t="str">
        <f>G80</f>
        <v>桜井市</v>
      </c>
      <c r="AZ80"/>
      <c r="BA80"/>
      <c r="BB80"/>
      <c r="BC80"/>
      <c r="BD80"/>
      <c r="BE80"/>
      <c r="BF80"/>
      <c r="BG80"/>
    </row>
    <row r="81" spans="1:59" ht="14.4">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1"/>
      <c r="AO81" s="1126"/>
      <c r="AP81" s="1142"/>
      <c r="AQ81" s="981"/>
      <c r="AR81" s="843"/>
      <c r="AS81" s="843"/>
      <c r="AT81" s="843"/>
      <c r="AU81" s="843"/>
      <c r="AV81" s="843"/>
      <c r="AW81" s="843"/>
      <c r="AX81" s="1143"/>
      <c r="AY81" s="1126"/>
      <c r="AZ81"/>
      <c r="BA81"/>
      <c r="BB81"/>
      <c r="BC81"/>
      <c r="BD81"/>
      <c r="BE81"/>
      <c r="BF81"/>
      <c r="BG81"/>
    </row>
    <row r="82" spans="1:59" ht="14.4">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71"/>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682"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1"/>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1111111125</v>
      </c>
      <c r="C84" s="1110"/>
      <c r="D84" s="1110"/>
      <c r="E84" s="1110"/>
      <c r="F84" s="1110"/>
      <c r="G84" s="1110" t="str">
        <f>IF(基本情報入力シート!L58="", "",基本情報入力シート!L58)</f>
        <v>桜井市</v>
      </c>
      <c r="H84" s="1110" t="str">
        <f>IF(基本情報入力シート!Q58="", "",基本情報入力シート!Q58)</f>
        <v>奈良県</v>
      </c>
      <c r="I84" s="1110" t="str">
        <f>IF(基本情報入力シート!V58="", "",基本情報入力シート!V58)</f>
        <v>桜井市</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10.17</v>
      </c>
      <c r="N84" s="1076" t="s">
        <v>2494</v>
      </c>
      <c r="O84" s="1061">
        <f>IFERROR(VLOOKUP(K84,【参考】数式用２!$A$2:$AD$48,MATCH(N84,【参考】数式用２!$C$4:$AD$4,0)+2,0),"")</f>
        <v>0</v>
      </c>
      <c r="P84" s="1144" t="s">
        <v>384</v>
      </c>
      <c r="Q84" s="1147">
        <f>IFERROR(VLOOKUP(K84,【参考】数式用２!$A$2:$AC$48,MATCH(P84,【参考】数式用２!$C$4:$AC$4,0)+2,0),"")</f>
        <v>0.18099999999999999</v>
      </c>
      <c r="R84" s="1150" t="s">
        <v>301</v>
      </c>
      <c r="S84" s="1153">
        <v>7</v>
      </c>
      <c r="T84" s="1070" t="s">
        <v>385</v>
      </c>
      <c r="U84" s="1153">
        <v>4</v>
      </c>
      <c r="V84" s="1070" t="s">
        <v>386</v>
      </c>
      <c r="W84" s="1153">
        <v>8</v>
      </c>
      <c r="X84" s="1070" t="s">
        <v>385</v>
      </c>
      <c r="Y84" s="1153">
        <v>3</v>
      </c>
      <c r="Z84" s="1070" t="s">
        <v>387</v>
      </c>
      <c r="AA84" s="1070" t="s">
        <v>209</v>
      </c>
      <c r="AB84" s="1070">
        <f>IF(S84&gt;=1,(W84*12+Y84)-(S84*12+U84)+1,"")</f>
        <v>12</v>
      </c>
      <c r="AC84" s="1073" t="s">
        <v>388</v>
      </c>
      <c r="AD84" s="1064">
        <f>IFERROR(ROUNDDOWN(ROUND(L84*Q84,0)*M84,0)*AB84,"")</f>
        <v>16566924</v>
      </c>
      <c r="AE84" s="1067">
        <f>IFERROR(ROUNDDOWN(ROUNDDOWN(ROUND(L84*VLOOKUP(K84,【参考】数式用２!$A$2:$AC$48,MATCH("処遇改善加算Ⅳ",【参考】数式用２!$C$4:$O$4,0)+2,0),0)*M84,0)*AB84*0.5,0), "")</f>
        <v>5583330</v>
      </c>
      <c r="AF84" s="1130" t="s">
        <v>2653</v>
      </c>
      <c r="AG84" s="1064" t="str">
        <f>IF(AND(AQ84&lt;&gt;"対象外", P84&lt;&gt;""),ROUNDDOWN(ROUND(L84*VLOOKUP(K84,【参考】数式用２!$A$2:$K$48,MATCH("ベア加算あり",【参考】数式用２!$C$4:$K$4,0)+2,0),0)*M84,0)*AB84,"")</f>
        <v/>
      </c>
      <c r="AH84" s="1133"/>
      <c r="AI84" s="1130" t="s">
        <v>2653</v>
      </c>
      <c r="AJ84" s="1130" t="s">
        <v>2653</v>
      </c>
      <c r="AK84" s="1136"/>
      <c r="AL84" s="1139" t="s">
        <v>397</v>
      </c>
      <c r="AM84" s="681" t="str">
        <f>IF(Q84="","",IF(Q84&lt;O84,"！加算の要件上は問題ありませんが、令和６年度末の加算率と比較して、令和７年度の加算率が低くなっています。",""))</f>
        <v/>
      </c>
      <c r="AN84" s="371"/>
      <c r="AO84" s="1125" t="str">
        <f>IF(K84&lt;&gt;"","Q列に色付け","")</f>
        <v>Q列に色付け</v>
      </c>
      <c r="AP84" s="1142" t="str">
        <f>IF(AND(AE84&lt;&gt;0,AE84&lt;&gt;""),IF(AF84="○","入力済","未入力"),"")</f>
        <v>入力済</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対象外</v>
      </c>
      <c r="AV84" s="843" t="str">
        <f>IF(AND(P84&lt;&gt;"処遇改善加算Ⅲ",P84&lt;&gt;"処遇改善加算Ⅳ", P84&lt;&gt;"", AU84&lt;&gt;"対象外"), 1,"")</f>
        <v/>
      </c>
      <c r="AW84" s="843" t="str">
        <f>IFERROR("_"&amp;VLOOKUP(K84, 【参考】数式用２!$AG$2:$AH$48, 2, FALSE), "")</f>
        <v>_74</v>
      </c>
      <c r="AX84" s="1143" t="str">
        <f>IF(AND(P84="処遇改善加算Ⅰ", AL84=""), "未入力","入力済")</f>
        <v>入力済</v>
      </c>
      <c r="AY84" s="1125" t="str">
        <f>G84</f>
        <v>桜井市</v>
      </c>
      <c r="AZ84"/>
      <c r="BA84"/>
      <c r="BB84"/>
      <c r="BC84"/>
      <c r="BD84"/>
      <c r="BE84"/>
      <c r="BF84"/>
      <c r="BG84"/>
    </row>
    <row r="85" spans="1:59" ht="14.4">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1"/>
      <c r="AO85" s="1126"/>
      <c r="AP85" s="1142"/>
      <c r="AQ85" s="981"/>
      <c r="AR85" s="843"/>
      <c r="AS85" s="843"/>
      <c r="AT85" s="843"/>
      <c r="AU85" s="843"/>
      <c r="AV85" s="843"/>
      <c r="AW85" s="843"/>
      <c r="AX85" s="1143"/>
      <c r="AY85" s="1126"/>
      <c r="AZ85"/>
      <c r="BA85"/>
      <c r="BB85"/>
      <c r="BC85"/>
      <c r="BD85"/>
      <c r="BE85"/>
      <c r="BF85"/>
      <c r="BG85"/>
    </row>
    <row r="86" spans="1:59" ht="14.4">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71"/>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682"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1"/>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1111111126</v>
      </c>
      <c r="C88" s="1110"/>
      <c r="D88" s="1110"/>
      <c r="E88" s="1110"/>
      <c r="F88" s="1110"/>
      <c r="G88" s="1110" t="str">
        <f>IF(基本情報入力シート!L59="", "",基本情報入力シート!L59)</f>
        <v>五條市</v>
      </c>
      <c r="H88" s="1110" t="str">
        <f>IF(基本情報入力シート!Q59="", "",基本情報入力シート!Q59)</f>
        <v>奈良県</v>
      </c>
      <c r="I88" s="1110" t="str">
        <f>IF(基本情報入力シート!V59="", "",基本情報入力シート!V59)</f>
        <v>五條市</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10</v>
      </c>
      <c r="N88" s="1076" t="s">
        <v>393</v>
      </c>
      <c r="O88" s="1061">
        <f>IFERROR(VLOOKUP(K88,【参考】数式用２!$A$2:$AD$48,MATCH(N88,【参考】数式用２!$C$4:$AD$4,0)+2,0),"")</f>
        <v>0.106</v>
      </c>
      <c r="P88" s="1144" t="s">
        <v>384</v>
      </c>
      <c r="Q88" s="1147">
        <f>IFERROR(VLOOKUP(K88,【参考】数式用２!$A$2:$AC$48,MATCH(P88,【参考】数式用２!$C$4:$AC$4,0)+2,0),"")</f>
        <v>0.14900000000000002</v>
      </c>
      <c r="R88" s="1150" t="s">
        <v>301</v>
      </c>
      <c r="S88" s="1153">
        <v>7</v>
      </c>
      <c r="T88" s="1070" t="s">
        <v>385</v>
      </c>
      <c r="U88" s="1153">
        <v>4</v>
      </c>
      <c r="V88" s="1070" t="s">
        <v>386</v>
      </c>
      <c r="W88" s="1153">
        <v>8</v>
      </c>
      <c r="X88" s="1070" t="s">
        <v>385</v>
      </c>
      <c r="Y88" s="1153">
        <v>3</v>
      </c>
      <c r="Z88" s="1070" t="s">
        <v>387</v>
      </c>
      <c r="AA88" s="1070" t="s">
        <v>209</v>
      </c>
      <c r="AB88" s="1070">
        <f>IF(S88&gt;=1,(W88*12+Y88)-(S88*12+U88)+1,"")</f>
        <v>12</v>
      </c>
      <c r="AC88" s="1073" t="s">
        <v>388</v>
      </c>
      <c r="AD88" s="1064">
        <f>IFERROR(ROUNDDOWN(ROUND(L88*Q88,0)*M88,0)*AB88,"")</f>
        <v>13410000</v>
      </c>
      <c r="AE88" s="1067">
        <f>IFERROR(ROUNDDOWN(ROUNDDOWN(ROUND(L88*VLOOKUP(K88,【参考】数式用２!$A$2:$AC$48,MATCH("処遇改善加算Ⅳ",【参考】数式用２!$C$4:$O$4,0)+2,0),0)*M88,0)*AB88*0.5,0), "")</f>
        <v>4770000</v>
      </c>
      <c r="AF88" s="1130" t="s">
        <v>2653</v>
      </c>
      <c r="AG88" s="1064" t="str">
        <f>IF(AND(AQ88&lt;&gt;"対象外", P88&lt;&gt;""),ROUNDDOWN(ROUND(L88*VLOOKUP(K88,【参考】数式用２!$A$2:$K$48,MATCH("ベア加算あり",【参考】数式用２!$C$4:$K$4,0)+2,0),0)*M88,0)*AB88,"")</f>
        <v/>
      </c>
      <c r="AH88" s="1133"/>
      <c r="AI88" s="1130" t="s">
        <v>2653</v>
      </c>
      <c r="AJ88" s="1130" t="s">
        <v>389</v>
      </c>
      <c r="AK88" s="1136">
        <v>1</v>
      </c>
      <c r="AL88" s="1139" t="s">
        <v>397</v>
      </c>
      <c r="AM88" s="681" t="str">
        <f>IF(Q88="","",IF(Q88&lt;O88,"！加算の要件上は問題ありませんが、令和６年度末の加算率と比較して、令和７年度の加算率が低くなっています。",""))</f>
        <v/>
      </c>
      <c r="AN88" s="371"/>
      <c r="AO88" s="1125" t="str">
        <f>IF(K88&lt;&gt;"","Q列に色付け","")</f>
        <v>Q列に色付け</v>
      </c>
      <c r="AP88" s="1142" t="str">
        <f>IF(AND(AE88&lt;&gt;0,AE88&lt;&gt;""),IF(AF88="○","入力済","未入力"),"")</f>
        <v>入力済</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対象</v>
      </c>
      <c r="AV88" s="843">
        <f>IF(AND(P88&lt;&gt;"処遇改善加算Ⅲ",P88&lt;&gt;"処遇改善加算Ⅳ", P88&lt;&gt;"", AU88&lt;&gt;"対象外"), 1,"")</f>
        <v>1</v>
      </c>
      <c r="AW88" s="843" t="str">
        <f>IFERROR("_"&amp;VLOOKUP(K88, 【参考】数式用２!$AG$2:$AH$48, 2, FALSE), "")</f>
        <v>_73</v>
      </c>
      <c r="AX88" s="1143" t="str">
        <f>IF(AND(P88="処遇改善加算Ⅰ", AL88=""), "未入力","入力済")</f>
        <v>入力済</v>
      </c>
      <c r="AY88" s="1125" t="str">
        <f>G88</f>
        <v>五條市</v>
      </c>
      <c r="AZ88"/>
      <c r="BA88"/>
      <c r="BB88"/>
      <c r="BC88"/>
      <c r="BD88"/>
      <c r="BE88"/>
      <c r="BF88"/>
      <c r="BG88"/>
    </row>
    <row r="89" spans="1:59" ht="14.4">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1"/>
      <c r="AO89" s="1126"/>
      <c r="AP89" s="1142"/>
      <c r="AQ89" s="981"/>
      <c r="AR89" s="843"/>
      <c r="AS89" s="843"/>
      <c r="AT89" s="843"/>
      <c r="AU89" s="843"/>
      <c r="AV89" s="843"/>
      <c r="AW89" s="843"/>
      <c r="AX89" s="1143"/>
      <c r="AY89" s="1126"/>
      <c r="AZ89"/>
      <c r="BA89"/>
      <c r="BB89"/>
      <c r="BC89"/>
      <c r="BD89"/>
      <c r="BE89"/>
      <c r="BF89"/>
      <c r="BG89"/>
    </row>
    <row r="90" spans="1:59" ht="14.4">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71"/>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682"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1"/>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1111111127</v>
      </c>
      <c r="C92" s="1110"/>
      <c r="D92" s="1110"/>
      <c r="E92" s="1110"/>
      <c r="F92" s="1110"/>
      <c r="G92" s="1110" t="str">
        <f>IF(基本情報入力シート!L60="", "",基本情報入力シート!L60)</f>
        <v>五條市</v>
      </c>
      <c r="H92" s="1110" t="str">
        <f>IF(基本情報入力シート!Q60="", "",基本情報入力シート!Q60)</f>
        <v>奈良県</v>
      </c>
      <c r="I92" s="1110" t="str">
        <f>IF(基本情報入力シート!V60="", "",基本情報入力シート!V60)</f>
        <v>五條市</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10</v>
      </c>
      <c r="N92" s="1076" t="s">
        <v>393</v>
      </c>
      <c r="O92" s="1061">
        <f>IFERROR(VLOOKUP(K92,【参考】数式用２!$A$2:$AD$48,MATCH(N92,【参考】数式用２!$C$4:$AD$4,0)+2,0),"")</f>
        <v>0.106</v>
      </c>
      <c r="P92" s="1144" t="s">
        <v>384</v>
      </c>
      <c r="Q92" s="1147">
        <f>IFERROR(VLOOKUP(K92,【参考】数式用２!$A$2:$AC$48,MATCH(P92,【参考】数式用２!$C$4:$AC$4,0)+2,0),"")</f>
        <v>0.14900000000000002</v>
      </c>
      <c r="R92" s="1150" t="s">
        <v>301</v>
      </c>
      <c r="S92" s="1153">
        <v>7</v>
      </c>
      <c r="T92" s="1070" t="s">
        <v>385</v>
      </c>
      <c r="U92" s="1153">
        <v>4</v>
      </c>
      <c r="V92" s="1070" t="s">
        <v>386</v>
      </c>
      <c r="W92" s="1153">
        <v>8</v>
      </c>
      <c r="X92" s="1070" t="s">
        <v>385</v>
      </c>
      <c r="Y92" s="1153">
        <v>3</v>
      </c>
      <c r="Z92" s="1070" t="s">
        <v>387</v>
      </c>
      <c r="AA92" s="1070" t="s">
        <v>209</v>
      </c>
      <c r="AB92" s="1070">
        <f>IF(S92&gt;=1,(W92*12+Y92)-(S92*12+U92)+1,"")</f>
        <v>12</v>
      </c>
      <c r="AC92" s="1073" t="s">
        <v>388</v>
      </c>
      <c r="AD92" s="1064">
        <f>IFERROR(ROUNDDOWN(ROUND(L92*Q92,0)*M92,0)*AB92,"")</f>
        <v>13410000</v>
      </c>
      <c r="AE92" s="1067">
        <f>IFERROR(ROUNDDOWN(ROUNDDOWN(ROUND(L92*VLOOKUP(K92,【参考】数式用２!$A$2:$AC$48,MATCH("処遇改善加算Ⅳ",【参考】数式用２!$C$4:$O$4,0)+2,0),0)*M92,0)*AB92*0.5,0), "")</f>
        <v>4770000</v>
      </c>
      <c r="AF92" s="1130" t="s">
        <v>2653</v>
      </c>
      <c r="AG92" s="1064" t="str">
        <f>IF(AND(AQ92&lt;&gt;"対象外", P92&lt;&gt;""),ROUNDDOWN(ROUND(L92*VLOOKUP(K92,【参考】数式用２!$A$2:$K$48,MATCH("ベア加算あり",【参考】数式用２!$C$4:$K$4,0)+2,0),0)*M92,0)*AB92,"")</f>
        <v/>
      </c>
      <c r="AH92" s="1133"/>
      <c r="AI92" s="1130" t="s">
        <v>389</v>
      </c>
      <c r="AJ92" s="1130" t="s">
        <v>389</v>
      </c>
      <c r="AK92" s="1136"/>
      <c r="AL92" s="1139" t="s">
        <v>397</v>
      </c>
      <c r="AM92" s="681" t="str">
        <f>IF(Q92="","",IF(Q92&lt;O92,"！加算の要件上は問題ありませんが、令和６年度末の加算率と比較して、令和７年度の加算率が低くなっています。",""))</f>
        <v/>
      </c>
      <c r="AN92" s="371"/>
      <c r="AO92" s="1125" t="str">
        <f>IF(K92&lt;&gt;"","Q列に色付け","")</f>
        <v>Q列に色付け</v>
      </c>
      <c r="AP92" s="1142" t="str">
        <f>IF(AND(AE92&lt;&gt;0,AE92&lt;&gt;""),IF(AF92="○","入力済","未入力"),"")</f>
        <v>入力済</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対象外</v>
      </c>
      <c r="AV92" s="843" t="str">
        <f>IF(AND(P92&lt;&gt;"処遇改善加算Ⅲ",P92&lt;&gt;"処遇改善加算Ⅳ", P92&lt;&gt;"", AU92&lt;&gt;"対象外"), 1,"")</f>
        <v/>
      </c>
      <c r="AW92" s="843" t="str">
        <f>IFERROR("_"&amp;VLOOKUP(K92, 【参考】数式用２!$AG$2:$AH$48, 2, FALSE), "")</f>
        <v>_68</v>
      </c>
      <c r="AX92" s="1143" t="str">
        <f>IF(AND(P92="処遇改善加算Ⅰ", AL92=""), "未入力","入力済")</f>
        <v>入力済</v>
      </c>
      <c r="AY92" s="1125" t="str">
        <f>G92</f>
        <v>五條市</v>
      </c>
      <c r="AZ92"/>
      <c r="BA92"/>
      <c r="BB92"/>
      <c r="BC92"/>
      <c r="BD92"/>
      <c r="BE92"/>
      <c r="BF92"/>
      <c r="BG92"/>
    </row>
    <row r="93" spans="1:59" ht="14.4">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1"/>
      <c r="AO93" s="1126"/>
      <c r="AP93" s="1142"/>
      <c r="AQ93" s="981"/>
      <c r="AR93" s="843"/>
      <c r="AS93" s="843"/>
      <c r="AT93" s="843"/>
      <c r="AU93" s="843"/>
      <c r="AV93" s="843"/>
      <c r="AW93" s="843"/>
      <c r="AX93" s="1143"/>
      <c r="AY93" s="1126"/>
      <c r="AZ93"/>
      <c r="BA93"/>
      <c r="BB93"/>
      <c r="BC93"/>
      <c r="BD93"/>
      <c r="BE93"/>
      <c r="BF93"/>
      <c r="BG93"/>
    </row>
    <row r="94" spans="1:59" ht="14.4">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71"/>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682"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1"/>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1111111128</v>
      </c>
      <c r="C96" s="1105"/>
      <c r="D96" s="1105"/>
      <c r="E96" s="1105"/>
      <c r="F96" s="1106"/>
      <c r="G96" s="1107" t="str">
        <f>IF(基本情報入力シート!L61="", "",基本情報入力シート!L61)</f>
        <v>五條市</v>
      </c>
      <c r="H96" s="1107" t="str">
        <f>IF(基本情報入力シート!Q61="", "",基本情報入力シート!Q61)</f>
        <v>奈良県</v>
      </c>
      <c r="I96" s="1107" t="str">
        <f>IF(基本情報入力シート!V61="", "",基本情報入力シート!V61)</f>
        <v>五條市</v>
      </c>
      <c r="J96" s="1107" t="str">
        <f>IF(基本情報入力シート!W61="", "",基本情報入力シート!W61)</f>
        <v>○○小多機</v>
      </c>
      <c r="K96" s="1107" t="str">
        <f>IF(基本情報入力シート!X61="", "",基本情報入力シート!X61)</f>
        <v>介護予防小規模多機能型居宅介護</v>
      </c>
      <c r="L96" s="1108">
        <f>IF(基本情報入力シート!AC61=0, "",基本情報入力シート!AC61)</f>
        <v>750000</v>
      </c>
      <c r="M96" s="1095">
        <f>IF(基本情報入力シート!AD61="", "",基本情報入力シート!AD61)</f>
        <v>10</v>
      </c>
      <c r="N96" s="1076" t="s">
        <v>393</v>
      </c>
      <c r="O96" s="1061">
        <f>IFERROR(VLOOKUP(K96,【参考】数式用２!$A$2:$AD$48,MATCH(N96,【参考】数式用２!$C$4:$AD$4,0)+2,0),"")</f>
        <v>0.106</v>
      </c>
      <c r="P96" s="1144" t="s">
        <v>384</v>
      </c>
      <c r="Q96" s="1147">
        <f>IFERROR(VLOOKUP(K96,【参考】数式用２!$A$2:$AC$48,MATCH(P96,【参考】数式用２!$C$4:$AC$4,0)+2,0),"")</f>
        <v>0.14900000000000002</v>
      </c>
      <c r="R96" s="1150" t="s">
        <v>301</v>
      </c>
      <c r="S96" s="1153">
        <v>7</v>
      </c>
      <c r="T96" s="1070" t="s">
        <v>385</v>
      </c>
      <c r="U96" s="1153">
        <v>4</v>
      </c>
      <c r="V96" s="1070" t="s">
        <v>386</v>
      </c>
      <c r="W96" s="1153">
        <v>8</v>
      </c>
      <c r="X96" s="1070" t="s">
        <v>385</v>
      </c>
      <c r="Y96" s="1153">
        <v>3</v>
      </c>
      <c r="Z96" s="1070" t="s">
        <v>387</v>
      </c>
      <c r="AA96" s="1070" t="s">
        <v>209</v>
      </c>
      <c r="AB96" s="1070">
        <f>IF(S96&gt;=1,(W96*12+Y96)-(S96*12+U96)+1,"")</f>
        <v>12</v>
      </c>
      <c r="AC96" s="1073" t="s">
        <v>388</v>
      </c>
      <c r="AD96" s="1064">
        <f>IFERROR(ROUNDDOWN(ROUND(L96*Q96,0)*M96,0)*AB96,"")</f>
        <v>13410000</v>
      </c>
      <c r="AE96" s="1067">
        <f>IFERROR(ROUNDDOWN(ROUNDDOWN(ROUND(L96*VLOOKUP(K96,【参考】数式用２!$A$2:$AC$48,MATCH("処遇改善加算Ⅳ",【参考】数式用２!$C$4:$O$4,0)+2,0),0)*M96,0)*AB96*0.5,0), "")</f>
        <v>4770000</v>
      </c>
      <c r="AF96" s="1130" t="s">
        <v>2653</v>
      </c>
      <c r="AG96" s="1064" t="str">
        <f>IF(AND(AQ96&lt;&gt;"対象外", P96&lt;&gt;""),ROUNDDOWN(ROUND(L96*VLOOKUP(K96,【参考】数式用２!$A$2:$K$48,MATCH("ベア加算あり",【参考】数式用２!$C$4:$K$4,0)+2,0),0)*M96,0)*AB96,"")</f>
        <v/>
      </c>
      <c r="AH96" s="1133"/>
      <c r="AI96" s="1130" t="s">
        <v>389</v>
      </c>
      <c r="AJ96" s="1130" t="s">
        <v>2653</v>
      </c>
      <c r="AK96" s="1136"/>
      <c r="AL96" s="1139" t="s">
        <v>397</v>
      </c>
      <c r="AM96" s="681" t="str">
        <f>IF(Q96="","",IF(Q96&lt;O96,"！加算の要件上は問題ありませんが、令和６年度末の加算率と比較して、令和７年度の加算率が低くなっています。",""))</f>
        <v/>
      </c>
      <c r="AN96" s="371"/>
      <c r="AO96" s="1125" t="str">
        <f>IF(K96&lt;&gt;"","Q列に色付け","")</f>
        <v>Q列に色付け</v>
      </c>
      <c r="AP96" s="1142" t="str">
        <f>IF(AND(AE96&lt;&gt;0,AE96&lt;&gt;""),IF(AF96="○","入力済","未入力"),"")</f>
        <v>入力済</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対象外</v>
      </c>
      <c r="AV96" s="843" t="str">
        <f>IF(AND(P96&lt;&gt;"処遇改善加算Ⅲ",P96&lt;&gt;"処遇改善加算Ⅳ", P96&lt;&gt;"", AU96&lt;&gt;"対象外"), 1,"")</f>
        <v/>
      </c>
      <c r="AW96" s="843" t="str">
        <f>IFERROR("_"&amp;VLOOKUP(K96, 【参考】数式用２!$AG$2:$AH$48, 2, FALSE), "")</f>
        <v>_75</v>
      </c>
      <c r="AX96" s="1143" t="str">
        <f>IF(AND(P96="処遇改善加算Ⅰ", AL96=""), "未入力","入力済")</f>
        <v>入力済</v>
      </c>
      <c r="AY96" s="1125" t="str">
        <f>G96</f>
        <v>五條市</v>
      </c>
      <c r="AZ96"/>
      <c r="BA96"/>
      <c r="BB96"/>
      <c r="BC96"/>
      <c r="BD96"/>
      <c r="BE96"/>
      <c r="BF96"/>
      <c r="BG96"/>
    </row>
    <row r="97" spans="1:59" ht="14.4">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1"/>
      <c r="AO97" s="1126"/>
      <c r="AP97" s="1142"/>
      <c r="AQ97" s="981"/>
      <c r="AR97" s="843"/>
      <c r="AS97" s="843"/>
      <c r="AT97" s="843"/>
      <c r="AU97" s="843"/>
      <c r="AV97" s="843"/>
      <c r="AW97" s="843"/>
      <c r="AX97" s="1143"/>
      <c r="AY97" s="1126"/>
      <c r="AZ97"/>
      <c r="BA97"/>
      <c r="BB97"/>
      <c r="BC97"/>
      <c r="BD97"/>
      <c r="BE97"/>
      <c r="BF97"/>
      <c r="BG97"/>
    </row>
    <row r="98" spans="1:59" ht="14.4">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71"/>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682"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1"/>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1111111129</v>
      </c>
      <c r="C100" s="1082"/>
      <c r="D100" s="1082"/>
      <c r="E100" s="1082"/>
      <c r="F100" s="1083"/>
      <c r="G100" s="1089" t="str">
        <f>IF(基本情報入力シート!L62="", "",基本情報入力シート!L62)</f>
        <v>五條市</v>
      </c>
      <c r="H100" s="1089" t="str">
        <f>IF(基本情報入力シート!Q62="", "",基本情報入力シート!Q62)</f>
        <v>奈良県</v>
      </c>
      <c r="I100" s="1089" t="str">
        <f>IF(基本情報入力シート!V62="", "",基本情報入力シート!V62)</f>
        <v>五條市</v>
      </c>
      <c r="J100" s="1089" t="str">
        <f>IF(基本情報入力シート!W62="", "",基本情報入力シート!W62)</f>
        <v>○○小多機</v>
      </c>
      <c r="K100" s="1089" t="str">
        <f>IF(基本情報入力シート!X62="", "",基本情報入力シート!X62)</f>
        <v>介護予防小規模多機能型居宅介護（短期利用型）</v>
      </c>
      <c r="L100" s="1092">
        <f>IF(基本情報入力シート!AC62=0, "",基本情報入力シート!AC62)</f>
        <v>750000</v>
      </c>
      <c r="M100" s="1095">
        <f>IF(基本情報入力シート!AD62="", "",基本情報入力シート!AD62)</f>
        <v>10</v>
      </c>
      <c r="N100" s="1076" t="s">
        <v>393</v>
      </c>
      <c r="O100" s="1061">
        <f>IFERROR(VLOOKUP(K100,【参考】数式用２!$A$2:$AD$48,MATCH(N100,【参考】数式用２!$C$4:$AD$4,0)+2,0),"")</f>
        <v>0.106</v>
      </c>
      <c r="P100" s="1144" t="s">
        <v>384</v>
      </c>
      <c r="Q100" s="1147">
        <f>IFERROR(VLOOKUP(K100,【参考】数式用２!$A$2:$AC$48,MATCH(P100,【参考】数式用２!$C$4:$AC$4,0)+2,0),"")</f>
        <v>0.14900000000000002</v>
      </c>
      <c r="R100" s="1150" t="s">
        <v>301</v>
      </c>
      <c r="S100" s="1153">
        <v>7</v>
      </c>
      <c r="T100" s="1070" t="s">
        <v>385</v>
      </c>
      <c r="U100" s="1153">
        <v>4</v>
      </c>
      <c r="V100" s="1070" t="s">
        <v>386</v>
      </c>
      <c r="W100" s="1153">
        <v>8</v>
      </c>
      <c r="X100" s="1070" t="s">
        <v>385</v>
      </c>
      <c r="Y100" s="1153">
        <v>3</v>
      </c>
      <c r="Z100" s="1070" t="s">
        <v>387</v>
      </c>
      <c r="AA100" s="1070" t="s">
        <v>209</v>
      </c>
      <c r="AB100" s="1070">
        <f>IF(S100&gt;=1,(W100*12+Y100)-(S100*12+U100)+1,"")</f>
        <v>12</v>
      </c>
      <c r="AC100" s="1073" t="s">
        <v>388</v>
      </c>
      <c r="AD100" s="1064">
        <f>IFERROR(ROUNDDOWN(ROUND(L100*Q100,0)*M100,0)*AB100,"")</f>
        <v>13410000</v>
      </c>
      <c r="AE100" s="1067">
        <f>IFERROR(ROUNDDOWN(ROUNDDOWN(ROUND(L100*VLOOKUP(K100,【参考】数式用２!$A$2:$AC$48,MATCH("処遇改善加算Ⅳ",【参考】数式用２!$C$4:$O$4,0)+2,0),0)*M100,0)*AB100*0.5,0), "")</f>
        <v>4770000</v>
      </c>
      <c r="AF100" s="1130" t="s">
        <v>2653</v>
      </c>
      <c r="AG100" s="1064" t="str">
        <f>IF(AND(AQ100&lt;&gt;"対象外", P100&lt;&gt;""),ROUNDDOWN(ROUND(L100*VLOOKUP(K100,【参考】数式用２!$A$2:$K$48,MATCH("ベア加算あり",【参考】数式用２!$C$4:$K$4,0)+2,0),0)*M100,0)*AB100,"")</f>
        <v/>
      </c>
      <c r="AH100" s="1133"/>
      <c r="AI100" s="1130" t="s">
        <v>2653</v>
      </c>
      <c r="AJ100" s="1130" t="s">
        <v>389</v>
      </c>
      <c r="AK100" s="1136"/>
      <c r="AL100" s="1139" t="s">
        <v>397</v>
      </c>
      <c r="AM100" s="681" t="str">
        <f>IF(Q100="","",IF(Q100&lt;O100,"！加算の要件上は問題ありませんが、令和６年度末の加算率と比較して、令和７年度の加算率が低くなっています。",""))</f>
        <v/>
      </c>
      <c r="AN100" s="371"/>
      <c r="AO100" s="1126" t="str">
        <f>IF(K100&lt;&gt;"","Q列に色付け","")</f>
        <v>Q列に色付け</v>
      </c>
      <c r="AP100" s="1142" t="str">
        <f>IF(AND(AE100&lt;&gt;0,AE100&lt;&gt;""),IF(AF100="○","入力済","未入力"),"")</f>
        <v>入力済</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対象外</v>
      </c>
      <c r="AV100" s="843" t="str">
        <f>IF(AND(P100&lt;&gt;"処遇改善加算Ⅲ",P100&lt;&gt;"処遇改善加算Ⅳ", P100&lt;&gt;"", AU100&lt;&gt;"対象外"), 1,"")</f>
        <v/>
      </c>
      <c r="AW100" s="843" t="str">
        <f>IFERROR("_"&amp;VLOOKUP(K100, 【参考】数式用２!$AG$2:$AH$48, 2, FALSE), "")</f>
        <v>_69</v>
      </c>
      <c r="AX100" s="1143" t="str">
        <f>IF(AND(P100="処遇改善加算Ⅰ", AL100=""), "未入力","入力済")</f>
        <v>入力済</v>
      </c>
      <c r="AY100" s="1125" t="str">
        <f>G100</f>
        <v>五條市</v>
      </c>
      <c r="AZ100"/>
      <c r="BA100"/>
      <c r="BB100"/>
      <c r="BC100"/>
      <c r="BD100"/>
      <c r="BE100"/>
      <c r="BF100"/>
      <c r="BG100"/>
    </row>
    <row r="101" spans="1:59" ht="14.4">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1"/>
      <c r="AO101" s="1126"/>
      <c r="AP101" s="1142"/>
      <c r="AQ101" s="981"/>
      <c r="AR101" s="843"/>
      <c r="AS101" s="843"/>
      <c r="AT101" s="843"/>
      <c r="AU101" s="843"/>
      <c r="AV101" s="843"/>
      <c r="AW101" s="843"/>
      <c r="AX101" s="1143"/>
      <c r="AY101" s="1126"/>
      <c r="AZ101"/>
      <c r="BA101"/>
      <c r="BB101"/>
      <c r="BC101"/>
      <c r="BD101"/>
      <c r="BE101"/>
      <c r="BF101"/>
      <c r="BG101"/>
    </row>
    <row r="102" spans="1:59" ht="14.4">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71"/>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682"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1"/>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1111111130</v>
      </c>
      <c r="C104" s="1082"/>
      <c r="D104" s="1082"/>
      <c r="E104" s="1082"/>
      <c r="F104" s="1083"/>
      <c r="G104" s="1089" t="str">
        <f>IF(基本情報入力シート!L63="", "",基本情報入力シート!L63)</f>
        <v>御所市</v>
      </c>
      <c r="H104" s="1089" t="str">
        <f>IF(基本情報入力シート!Q63="", "",基本情報入力シート!Q63)</f>
        <v>奈良県</v>
      </c>
      <c r="I104" s="1089" t="str">
        <f>IF(基本情報入力シート!V63="", "",基本情報入力シート!V63)</f>
        <v>御所市</v>
      </c>
      <c r="J104" s="1089" t="str">
        <f>IF(基本情報入力シート!W63="", "",基本情報入力シート!W63)</f>
        <v>○○看多機</v>
      </c>
      <c r="K104" s="1089" t="str">
        <f>IF(基本情報入力シート!X63="", "",基本情報入力シート!X63)</f>
        <v>複合型サービス（看護小規模多機能型居宅介護）</v>
      </c>
      <c r="L104" s="1092">
        <f>IF(基本情報入力シート!AC63=0, "",基本情報入力シート!AC63)</f>
        <v>750000</v>
      </c>
      <c r="M104" s="1095">
        <f>IF(基本情報入力シート!AD63="", "",基本情報入力シート!AD63)</f>
        <v>10.17</v>
      </c>
      <c r="N104" s="1076" t="s">
        <v>393</v>
      </c>
      <c r="O104" s="1061">
        <f>IFERROR(VLOOKUP(K104,【参考】数式用２!$A$2:$AD$48,MATCH(N104,【参考】数式用２!$C$4:$AD$4,0)+2,0),"")</f>
        <v>0.106</v>
      </c>
      <c r="P104" s="1144" t="s">
        <v>384</v>
      </c>
      <c r="Q104" s="1147">
        <f>IFERROR(VLOOKUP(K104,【参考】数式用２!$A$2:$AC$48,MATCH(P104,【参考】数式用２!$C$4:$AC$4,0)+2,0),"")</f>
        <v>0.14900000000000002</v>
      </c>
      <c r="R104" s="1150" t="s">
        <v>301</v>
      </c>
      <c r="S104" s="1153">
        <v>7</v>
      </c>
      <c r="T104" s="1070" t="s">
        <v>385</v>
      </c>
      <c r="U104" s="1153">
        <v>4</v>
      </c>
      <c r="V104" s="1070" t="s">
        <v>386</v>
      </c>
      <c r="W104" s="1153">
        <v>8</v>
      </c>
      <c r="X104" s="1070" t="s">
        <v>385</v>
      </c>
      <c r="Y104" s="1153">
        <v>3</v>
      </c>
      <c r="Z104" s="1070" t="s">
        <v>387</v>
      </c>
      <c r="AA104" s="1070" t="s">
        <v>209</v>
      </c>
      <c r="AB104" s="1070">
        <f>IF(S104&gt;=1,(W104*12+Y104)-(S104*12+U104)+1,"")</f>
        <v>12</v>
      </c>
      <c r="AC104" s="1073" t="s">
        <v>388</v>
      </c>
      <c r="AD104" s="1064">
        <f>IFERROR(ROUNDDOWN(ROUND(L104*Q104,0)*M104,0)*AB104,"")</f>
        <v>13637964</v>
      </c>
      <c r="AE104" s="1067">
        <f>IFERROR(ROUNDDOWN(ROUNDDOWN(ROUND(L104*VLOOKUP(K104,【参考】数式用２!$A$2:$AC$48,MATCH("処遇改善加算Ⅳ",【参考】数式用２!$C$4:$O$4,0)+2,0),0)*M104,0)*AB104*0.5,0), "")</f>
        <v>4851090</v>
      </c>
      <c r="AF104" s="1130" t="s">
        <v>2653</v>
      </c>
      <c r="AG104" s="1064" t="str">
        <f>IF(AND(AQ104&lt;&gt;"対象外", P104&lt;&gt;""),ROUNDDOWN(ROUND(L104*VLOOKUP(K104,【参考】数式用２!$A$2:$K$48,MATCH("ベア加算あり",【参考】数式用２!$C$4:$K$4,0)+2,0),0)*M104,0)*AB104,"")</f>
        <v/>
      </c>
      <c r="AH104" s="1133"/>
      <c r="AI104" s="1130" t="s">
        <v>2653</v>
      </c>
      <c r="AJ104" s="1130" t="s">
        <v>389</v>
      </c>
      <c r="AK104" s="1136">
        <v>1</v>
      </c>
      <c r="AL104" s="1139" t="s">
        <v>397</v>
      </c>
      <c r="AM104" s="681" t="str">
        <f>IF(Q104="","",IF(Q104&lt;O104,"！加算の要件上は問題ありませんが、令和６年度末の加算率と比較して、令和７年度の加算率が低くなっています。",""))</f>
        <v/>
      </c>
      <c r="AN104" s="371"/>
      <c r="AO104" s="1125" t="str">
        <f>IF(K104&lt;&gt;"","Q列に色付け","")</f>
        <v>Q列に色付け</v>
      </c>
      <c r="AP104" s="1142" t="str">
        <f>IF(AND(AE104&lt;&gt;0,AE104&lt;&gt;""),IF(AF104="○","入力済","未入力"),"")</f>
        <v>入力済</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対象</v>
      </c>
      <c r="AV104" s="843">
        <f>IF(AND(P104&lt;&gt;"処遇改善加算Ⅲ",P104&lt;&gt;"処遇改善加算Ⅳ", P104&lt;&gt;"", AU104&lt;&gt;"対象外"), 1,"")</f>
        <v>1</v>
      </c>
      <c r="AW104" s="843" t="str">
        <f>IFERROR("_"&amp;VLOOKUP(K104, 【参考】数式用２!$AG$2:$AH$48, 2, FALSE), "")</f>
        <v>_77</v>
      </c>
      <c r="AX104" s="1143" t="str">
        <f>IF(AND(P104="処遇改善加算Ⅰ", AL104=""), "未入力","入力済")</f>
        <v>入力済</v>
      </c>
      <c r="AY104" s="1125" t="str">
        <f>G104</f>
        <v>御所市</v>
      </c>
      <c r="AZ104"/>
      <c r="BA104"/>
      <c r="BB104"/>
      <c r="BC104"/>
      <c r="BD104"/>
      <c r="BE104"/>
      <c r="BF104"/>
      <c r="BG104"/>
    </row>
    <row r="105" spans="1:59" ht="14.4">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1"/>
      <c r="AO105" s="1126"/>
      <c r="AP105" s="1142"/>
      <c r="AQ105" s="981"/>
      <c r="AR105" s="843"/>
      <c r="AS105" s="843"/>
      <c r="AT105" s="843"/>
      <c r="AU105" s="843"/>
      <c r="AV105" s="843"/>
      <c r="AW105" s="843"/>
      <c r="AX105" s="1143"/>
      <c r="AY105" s="1126"/>
      <c r="AZ105"/>
      <c r="BA105"/>
      <c r="BB105"/>
      <c r="BC105"/>
      <c r="BD105"/>
      <c r="BE105"/>
      <c r="BF105"/>
      <c r="BG105"/>
    </row>
    <row r="106" spans="1:59" ht="14.4">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71"/>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682"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1"/>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1111111131</v>
      </c>
      <c r="C108" s="1082"/>
      <c r="D108" s="1082"/>
      <c r="E108" s="1082"/>
      <c r="F108" s="1083"/>
      <c r="G108" s="1089" t="str">
        <f>IF(基本情報入力シート!L64="", "",基本情報入力シート!L64)</f>
        <v>御所市</v>
      </c>
      <c r="H108" s="1089" t="str">
        <f>IF(基本情報入力シート!Q64="", "",基本情報入力シート!Q64)</f>
        <v>奈良県</v>
      </c>
      <c r="I108" s="1089" t="str">
        <f>IF(基本情報入力シート!V64="", "",基本情報入力シート!V64)</f>
        <v>御所市</v>
      </c>
      <c r="J108" s="1089" t="str">
        <f>IF(基本情報入力シート!W64="", "",基本情報入力シート!W64)</f>
        <v>○○看多機</v>
      </c>
      <c r="K108" s="1089" t="str">
        <f>IF(基本情報入力シート!X64="", "",基本情報入力シート!X64)</f>
        <v>複合型サービス（看護小規模多機能型居宅介護・短期利用型）</v>
      </c>
      <c r="L108" s="1092">
        <f>IF(基本情報入力シート!AC64=0, "",基本情報入力シート!AC64)</f>
        <v>750000</v>
      </c>
      <c r="M108" s="1095">
        <f>IF(基本情報入力シート!AD64="", "",基本情報入力シート!AD64)</f>
        <v>10.17</v>
      </c>
      <c r="N108" s="1076" t="s">
        <v>393</v>
      </c>
      <c r="O108" s="1061">
        <f>IFERROR(VLOOKUP(K108,【参考】数式用２!$A$2:$AD$48,MATCH(N108,【参考】数式用２!$C$4:$AD$4,0)+2,0),"")</f>
        <v>0.106</v>
      </c>
      <c r="P108" s="1144" t="s">
        <v>384</v>
      </c>
      <c r="Q108" s="1147">
        <f>IFERROR(VLOOKUP(K108,【参考】数式用２!$A$2:$AC$48,MATCH(P108,【参考】数式用２!$C$4:$AC$4,0)+2,0),"")</f>
        <v>0.14900000000000002</v>
      </c>
      <c r="R108" s="1150" t="s">
        <v>301</v>
      </c>
      <c r="S108" s="1153">
        <v>7</v>
      </c>
      <c r="T108" s="1070" t="s">
        <v>385</v>
      </c>
      <c r="U108" s="1153">
        <v>4</v>
      </c>
      <c r="V108" s="1070" t="s">
        <v>386</v>
      </c>
      <c r="W108" s="1153">
        <v>8</v>
      </c>
      <c r="X108" s="1070" t="s">
        <v>385</v>
      </c>
      <c r="Y108" s="1153">
        <v>3</v>
      </c>
      <c r="Z108" s="1070" t="s">
        <v>387</v>
      </c>
      <c r="AA108" s="1070" t="s">
        <v>209</v>
      </c>
      <c r="AB108" s="1070">
        <f>IF(S108&gt;=1,(W108*12+Y108)-(S108*12+U108)+1,"")</f>
        <v>12</v>
      </c>
      <c r="AC108" s="1073" t="s">
        <v>388</v>
      </c>
      <c r="AD108" s="1064">
        <f>IFERROR(ROUNDDOWN(ROUND(L108*Q108,0)*M108,0)*AB108,"")</f>
        <v>13637964</v>
      </c>
      <c r="AE108" s="1067">
        <f>IFERROR(ROUNDDOWN(ROUNDDOWN(ROUND(L108*VLOOKUP(K108,【参考】数式用２!$A$2:$AC$48,MATCH("処遇改善加算Ⅳ",【参考】数式用２!$C$4:$O$4,0)+2,0),0)*M108,0)*AB108*0.5,0), "")</f>
        <v>4851090</v>
      </c>
      <c r="AF108" s="1130" t="s">
        <v>2653</v>
      </c>
      <c r="AG108" s="1064" t="str">
        <f>IF(AND(AQ108&lt;&gt;"対象外", P108&lt;&gt;""),ROUNDDOWN(ROUND(L108*VLOOKUP(K108,【参考】数式用２!$A$2:$K$48,MATCH("ベア加算あり",【参考】数式用２!$C$4:$K$4,0)+2,0),0)*M108,0)*AB108,"")</f>
        <v/>
      </c>
      <c r="AH108" s="1133"/>
      <c r="AI108" s="1130" t="s">
        <v>389</v>
      </c>
      <c r="AJ108" s="1130" t="s">
        <v>2653</v>
      </c>
      <c r="AK108" s="1136"/>
      <c r="AL108" s="1139" t="s">
        <v>397</v>
      </c>
      <c r="AM108" s="681" t="str">
        <f>IF(Q108="","",IF(Q108&lt;O108,"！加算の要件上は問題ありませんが、令和６年度末の加算率と比較して、令和７年度の加算率が低くなっています。",""))</f>
        <v/>
      </c>
      <c r="AN108" s="371"/>
      <c r="AO108" s="1126" t="str">
        <f>IF(K108&lt;&gt;"","Q列に色付け","")</f>
        <v>Q列に色付け</v>
      </c>
      <c r="AP108" s="1142" t="str">
        <f>IF(AND(AE108&lt;&gt;0,AE108&lt;&gt;""),IF(AF108="○","入力済","未入力"),"")</f>
        <v>入力済</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対象外</v>
      </c>
      <c r="AV108" s="843" t="str">
        <f>IF(AND(P108&lt;&gt;"処遇改善加算Ⅲ",P108&lt;&gt;"処遇改善加算Ⅳ", P108&lt;&gt;"", AU108&lt;&gt;"対象外"), 1,"")</f>
        <v/>
      </c>
      <c r="AW108" s="843" t="str">
        <f>IFERROR("_"&amp;VLOOKUP(K108, 【参考】数式用２!$AG$2:$AH$48, 2, FALSE), "")</f>
        <v>_79</v>
      </c>
      <c r="AX108" s="1143" t="str">
        <f>IF(AND(P108="処遇改善加算Ⅰ", AL108=""), "未入力","入力済")</f>
        <v>入力済</v>
      </c>
      <c r="AY108" s="1125" t="str">
        <f>G108</f>
        <v>御所市</v>
      </c>
      <c r="AZ108"/>
      <c r="BA108"/>
      <c r="BB108"/>
      <c r="BC108"/>
      <c r="BD108"/>
      <c r="BE108"/>
      <c r="BF108"/>
      <c r="BG108"/>
    </row>
    <row r="109" spans="1:59" ht="14.4">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1"/>
      <c r="AO109" s="1126"/>
      <c r="AP109" s="1142"/>
      <c r="AQ109" s="981"/>
      <c r="AR109" s="843"/>
      <c r="AS109" s="843"/>
      <c r="AT109" s="843"/>
      <c r="AU109" s="843"/>
      <c r="AV109" s="843"/>
      <c r="AW109" s="843"/>
      <c r="AX109" s="1143"/>
      <c r="AY109" s="1126"/>
      <c r="AZ109"/>
      <c r="BA109"/>
      <c r="BB109"/>
      <c r="BC109"/>
      <c r="BD109"/>
      <c r="BE109"/>
      <c r="BF109"/>
      <c r="BG109"/>
    </row>
    <row r="110" spans="1:59" ht="14.4">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71"/>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682"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1"/>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1111111132</v>
      </c>
      <c r="C112" s="1082"/>
      <c r="D112" s="1082"/>
      <c r="E112" s="1082"/>
      <c r="F112" s="1083"/>
      <c r="G112" s="1089" t="str">
        <f>IF(基本情報入力シート!L65="", "",基本情報入力シート!L65)</f>
        <v>生駒市</v>
      </c>
      <c r="H112" s="1089" t="str">
        <f>IF(基本情報入力シート!Q65="", "",基本情報入力シート!Q65)</f>
        <v>奈良県</v>
      </c>
      <c r="I112" s="1089" t="str">
        <f>IF(基本情報入力シート!V65="", "",基本情報入力シート!V65)</f>
        <v>生駒市</v>
      </c>
      <c r="J112" s="1089" t="str">
        <f>IF(基本情報入力シート!W65="", "",基本情報入力シート!W65)</f>
        <v>○○GH</v>
      </c>
      <c r="K112" s="1089" t="str">
        <f>IF(基本情報入力シート!X65="", "",基本情報入力シート!X65)</f>
        <v>認知症対応型共同生活介護</v>
      </c>
      <c r="L112" s="1092">
        <f>IF(基本情報入力シート!AC65=0, "",基本情報入力シート!AC65)</f>
        <v>750000</v>
      </c>
      <c r="M112" s="1095">
        <f>IF(基本情報入力シート!AD65="", "",基本情報入力シート!AD65)</f>
        <v>10.27</v>
      </c>
      <c r="N112" s="1076" t="s">
        <v>393</v>
      </c>
      <c r="O112" s="1061">
        <f>IFERROR(VLOOKUP(K112,【参考】数式用２!$A$2:$AD$48,MATCH(N112,【参考】数式用２!$C$4:$AD$4,0)+2,0),"")</f>
        <v>0.125</v>
      </c>
      <c r="P112" s="1144" t="s">
        <v>384</v>
      </c>
      <c r="Q112" s="1147">
        <f>IFERROR(VLOOKUP(K112,【参考】数式用２!$A$2:$AC$48,MATCH(P112,【参考】数式用２!$C$4:$AC$4,0)+2,0),"")</f>
        <v>0.186</v>
      </c>
      <c r="R112" s="1150" t="s">
        <v>301</v>
      </c>
      <c r="S112" s="1153">
        <v>7</v>
      </c>
      <c r="T112" s="1070" t="s">
        <v>385</v>
      </c>
      <c r="U112" s="1153">
        <v>4</v>
      </c>
      <c r="V112" s="1070" t="s">
        <v>386</v>
      </c>
      <c r="W112" s="1153">
        <v>8</v>
      </c>
      <c r="X112" s="1070" t="s">
        <v>385</v>
      </c>
      <c r="Y112" s="1153">
        <v>3</v>
      </c>
      <c r="Z112" s="1070" t="s">
        <v>387</v>
      </c>
      <c r="AA112" s="1070" t="s">
        <v>209</v>
      </c>
      <c r="AB112" s="1070">
        <f>IF(S112&gt;=1,(W112*12+Y112)-(S112*12+U112)+1,"")</f>
        <v>12</v>
      </c>
      <c r="AC112" s="1073" t="s">
        <v>388</v>
      </c>
      <c r="AD112" s="1064">
        <f>IFERROR(ROUNDDOWN(ROUND(L112*Q112,0)*M112,0)*AB112,"")</f>
        <v>17191980</v>
      </c>
      <c r="AE112" s="1067">
        <f>IFERROR(ROUNDDOWN(ROUNDDOWN(ROUND(L112*VLOOKUP(K112,【参考】数式用２!$A$2:$AC$48,MATCH("処遇改善加算Ⅳ",【参考】数式用２!$C$4:$O$4,0)+2,0),0)*M112,0)*AB112*0.5,0), "")</f>
        <v>5776872</v>
      </c>
      <c r="AF112" s="1130" t="s">
        <v>2653</v>
      </c>
      <c r="AG112" s="1064" t="str">
        <f>IF(AND(AQ112&lt;&gt;"対象外", P112&lt;&gt;""),ROUNDDOWN(ROUND(L112*VLOOKUP(K112,【参考】数式用２!$A$2:$K$48,MATCH("ベア加算あり",【参考】数式用２!$C$4:$K$4,0)+2,0),0)*M112,0)*AB112,"")</f>
        <v/>
      </c>
      <c r="AH112" s="1133"/>
      <c r="AI112" s="1130" t="s">
        <v>389</v>
      </c>
      <c r="AJ112" s="1130" t="s">
        <v>389</v>
      </c>
      <c r="AK112" s="1136">
        <v>1</v>
      </c>
      <c r="AL112" s="1139" t="s">
        <v>397</v>
      </c>
      <c r="AM112" s="681" t="str">
        <f>IF(Q112="","",IF(Q112&lt;O112,"！加算の要件上は問題ありませんが、令和６年度末の加算率と比較して、令和７年度の加算率が低くなっています。",""))</f>
        <v/>
      </c>
      <c r="AN112" s="371"/>
      <c r="AO112" s="1125" t="str">
        <f>IF(K112&lt;&gt;"","Q列に色付け","")</f>
        <v>Q列に色付け</v>
      </c>
      <c r="AP112" s="1142" t="str">
        <f>IF(AND(AE112&lt;&gt;0,AE112&lt;&gt;""),IF(AF112="○","入力済","未入力"),"")</f>
        <v>入力済</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対象</v>
      </c>
      <c r="AV112" s="843">
        <f>IF(AND(P112&lt;&gt;"処遇改善加算Ⅲ",P112&lt;&gt;"処遇改善加算Ⅳ", P112&lt;&gt;"", AU112&lt;&gt;"対象外"), 1,"")</f>
        <v>1</v>
      </c>
      <c r="AW112" s="843" t="str">
        <f>IFERROR("_"&amp;VLOOKUP(K112, 【参考】数式用２!$AG$2:$AH$48, 2, FALSE), "")</f>
        <v>_32</v>
      </c>
      <c r="AX112" s="1143" t="str">
        <f>IF(AND(P112="処遇改善加算Ⅰ", AL112=""), "未入力","入力済")</f>
        <v>入力済</v>
      </c>
      <c r="AY112" s="1125" t="str">
        <f>G112</f>
        <v>生駒市</v>
      </c>
      <c r="AZ112"/>
      <c r="BA112"/>
      <c r="BB112"/>
      <c r="BC112"/>
      <c r="BD112"/>
      <c r="BE112"/>
      <c r="BF112"/>
      <c r="BG112"/>
    </row>
    <row r="113" spans="1:59" ht="14.4">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1"/>
      <c r="AO113" s="1126"/>
      <c r="AP113" s="1142"/>
      <c r="AQ113" s="981"/>
      <c r="AR113" s="843"/>
      <c r="AS113" s="843"/>
      <c r="AT113" s="843"/>
      <c r="AU113" s="843"/>
      <c r="AV113" s="843"/>
      <c r="AW113" s="843"/>
      <c r="AX113" s="1143"/>
      <c r="AY113" s="1126"/>
      <c r="AZ113"/>
      <c r="BA113"/>
      <c r="BB113"/>
      <c r="BC113"/>
      <c r="BD113"/>
      <c r="BE113"/>
      <c r="BF113"/>
      <c r="BG113"/>
    </row>
    <row r="114" spans="1:59" ht="14.4">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71"/>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682"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1"/>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1111111133</v>
      </c>
      <c r="C116" s="1082"/>
      <c r="D116" s="1082"/>
      <c r="E116" s="1082"/>
      <c r="F116" s="1083"/>
      <c r="G116" s="1089" t="str">
        <f>IF(基本情報入力シート!L66="", "",基本情報入力シート!L66)</f>
        <v>生駒市</v>
      </c>
      <c r="H116" s="1089" t="str">
        <f>IF(基本情報入力シート!Q66="", "",基本情報入力シート!Q66)</f>
        <v>奈良県</v>
      </c>
      <c r="I116" s="1089" t="str">
        <f>IF(基本情報入力シート!V66="", "",基本情報入力シート!V66)</f>
        <v>生駒市</v>
      </c>
      <c r="J116" s="1089" t="str">
        <f>IF(基本情報入力シート!W66="", "",基本情報入力シート!W66)</f>
        <v>○○GH</v>
      </c>
      <c r="K116" s="1089" t="str">
        <f>IF(基本情報入力シート!X66="", "",基本情報入力シート!X66)</f>
        <v>認知症対応型共同生活介護（短期利用型）</v>
      </c>
      <c r="L116" s="1092">
        <f>IF(基本情報入力シート!AC66=0, "",基本情報入力シート!AC66)</f>
        <v>750000</v>
      </c>
      <c r="M116" s="1095">
        <f>IF(基本情報入力シート!AD66="", "",基本情報入力シート!AD66)</f>
        <v>10.27</v>
      </c>
      <c r="N116" s="1076" t="s">
        <v>393</v>
      </c>
      <c r="O116" s="1061">
        <f>IFERROR(VLOOKUP(K116,【参考】数式用２!$A$2:$AD$48,MATCH(N116,【参考】数式用２!$C$4:$AD$4,0)+2,0),"")</f>
        <v>0.125</v>
      </c>
      <c r="P116" s="1144" t="s">
        <v>384</v>
      </c>
      <c r="Q116" s="1147">
        <f>IFERROR(VLOOKUP(K116,【参考】数式用２!$A$2:$AC$48,MATCH(P116,【参考】数式用２!$C$4:$AC$4,0)+2,0),"")</f>
        <v>0.186</v>
      </c>
      <c r="R116" s="1150" t="s">
        <v>301</v>
      </c>
      <c r="S116" s="1153">
        <v>7</v>
      </c>
      <c r="T116" s="1070" t="s">
        <v>385</v>
      </c>
      <c r="U116" s="1153">
        <v>4</v>
      </c>
      <c r="V116" s="1070" t="s">
        <v>386</v>
      </c>
      <c r="W116" s="1153">
        <v>8</v>
      </c>
      <c r="X116" s="1070" t="s">
        <v>385</v>
      </c>
      <c r="Y116" s="1153">
        <v>3</v>
      </c>
      <c r="Z116" s="1070" t="s">
        <v>387</v>
      </c>
      <c r="AA116" s="1070" t="s">
        <v>209</v>
      </c>
      <c r="AB116" s="1070">
        <f>IF(S116&gt;=1,(W116*12+Y116)-(S116*12+U116)+1,"")</f>
        <v>12</v>
      </c>
      <c r="AC116" s="1073" t="s">
        <v>388</v>
      </c>
      <c r="AD116" s="1064">
        <f>IFERROR(ROUNDDOWN(ROUND(L116*Q116,0)*M116,0)*AB116,"")</f>
        <v>17191980</v>
      </c>
      <c r="AE116" s="1067">
        <f>IFERROR(ROUNDDOWN(ROUNDDOWN(ROUND(L116*VLOOKUP(K116,【参考】数式用２!$A$2:$AC$48,MATCH("処遇改善加算Ⅳ",【参考】数式用２!$C$4:$O$4,0)+2,0),0)*M116,0)*AB116*0.5,0), "")</f>
        <v>5776872</v>
      </c>
      <c r="AF116" s="1130" t="s">
        <v>2653</v>
      </c>
      <c r="AG116" s="1064" t="str">
        <f>IF(AND(AQ116&lt;&gt;"対象外", P116&lt;&gt;""),ROUNDDOWN(ROUND(L116*VLOOKUP(K116,【参考】数式用２!$A$2:$K$48,MATCH("ベア加算あり",【参考】数式用２!$C$4:$K$4,0)+2,0),0)*M116,0)*AB116,"")</f>
        <v/>
      </c>
      <c r="AH116" s="1133"/>
      <c r="AI116" s="1130" t="s">
        <v>2653</v>
      </c>
      <c r="AJ116" s="1130" t="s">
        <v>389</v>
      </c>
      <c r="AK116" s="1136"/>
      <c r="AL116" s="1139" t="s">
        <v>397</v>
      </c>
      <c r="AM116" s="681" t="str">
        <f>IF(Q116="","",IF(Q116&lt;O116,"！加算の要件上は問題ありませんが、令和６年度末の加算率と比較して、令和７年度の加算率が低くなっています。",""))</f>
        <v/>
      </c>
      <c r="AN116" s="371"/>
      <c r="AO116" s="1125" t="str">
        <f>IF(K116&lt;&gt;"","Q列に色付け","")</f>
        <v>Q列に色付け</v>
      </c>
      <c r="AP116" s="1142" t="str">
        <f>IF(AND(AE116&lt;&gt;0,AE116&lt;&gt;""),IF(AF116="○","入力済","未入力"),"")</f>
        <v>入力済</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対象外</v>
      </c>
      <c r="AV116" s="843" t="str">
        <f>IF(AND(P116&lt;&gt;"処遇改善加算Ⅲ",P116&lt;&gt;"処遇改善加算Ⅳ", P116&lt;&gt;"", AU116&lt;&gt;"対象外"), 1,"")</f>
        <v/>
      </c>
      <c r="AW116" s="843" t="str">
        <f>IFERROR("_"&amp;VLOOKUP(K116, 【参考】数式用２!$AG$2:$AH$48, 2, FALSE), "")</f>
        <v>_38</v>
      </c>
      <c r="AX116" s="1143" t="str">
        <f>IF(AND(P116="処遇改善加算Ⅰ", AL116=""), "未入力","入力済")</f>
        <v>入力済</v>
      </c>
      <c r="AY116" s="1125" t="str">
        <f>G116</f>
        <v>生駒市</v>
      </c>
      <c r="AZ116"/>
      <c r="BA116"/>
      <c r="BB116"/>
      <c r="BC116"/>
      <c r="BD116"/>
      <c r="BE116"/>
      <c r="BF116"/>
      <c r="BG116"/>
    </row>
    <row r="117" spans="1:59" ht="14.4">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1"/>
      <c r="AO117" s="1126"/>
      <c r="AP117" s="1142"/>
      <c r="AQ117" s="981"/>
      <c r="AR117" s="843"/>
      <c r="AS117" s="843"/>
      <c r="AT117" s="843"/>
      <c r="AU117" s="843"/>
      <c r="AV117" s="843"/>
      <c r="AW117" s="843"/>
      <c r="AX117" s="1143"/>
      <c r="AY117" s="1126"/>
      <c r="AZ117"/>
      <c r="BA117"/>
      <c r="BB117"/>
      <c r="BC117"/>
      <c r="BD117"/>
      <c r="BE117"/>
      <c r="BF117"/>
      <c r="BG117"/>
    </row>
    <row r="118" spans="1:59" ht="14.4">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71"/>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682"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1"/>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1111111134</v>
      </c>
      <c r="C120" s="1082"/>
      <c r="D120" s="1082"/>
      <c r="E120" s="1082"/>
      <c r="F120" s="1083"/>
      <c r="G120" s="1089" t="str">
        <f>IF(基本情報入力シート!L67="", "",基本情報入力シート!L67)</f>
        <v>生駒市</v>
      </c>
      <c r="H120" s="1089" t="str">
        <f>IF(基本情報入力シート!Q67="", "",基本情報入力シート!Q67)</f>
        <v>奈良県</v>
      </c>
      <c r="I120" s="1089" t="str">
        <f>IF(基本情報入力シート!V67="", "",基本情報入力シート!V67)</f>
        <v>生駒市</v>
      </c>
      <c r="J120" s="1089" t="str">
        <f>IF(基本情報入力シート!W67="", "",基本情報入力シート!W67)</f>
        <v>○○GH</v>
      </c>
      <c r="K120" s="1089" t="str">
        <f>IF(基本情報入力シート!X67="", "",基本情報入力シート!X67)</f>
        <v>介護予防認知症対応型共同生活介護</v>
      </c>
      <c r="L120" s="1092">
        <f>IF(基本情報入力シート!AC67=0, "",基本情報入力シート!AC67)</f>
        <v>750000</v>
      </c>
      <c r="M120" s="1095">
        <f>IF(基本情報入力シート!AD67="", "",基本情報入力シート!AD67)</f>
        <v>10.27</v>
      </c>
      <c r="N120" s="1076" t="s">
        <v>393</v>
      </c>
      <c r="O120" s="1061">
        <f>IFERROR(VLOOKUP(K120,【参考】数式用２!$A$2:$AD$48,MATCH(N120,【参考】数式用２!$C$4:$AD$4,0)+2,0),"")</f>
        <v>0.125</v>
      </c>
      <c r="P120" s="1144" t="s">
        <v>384</v>
      </c>
      <c r="Q120" s="1147">
        <f>IFERROR(VLOOKUP(K120,【参考】数式用２!$A$2:$AC$48,MATCH(P120,【参考】数式用２!$C$4:$AC$4,0)+2,0),"")</f>
        <v>0.186</v>
      </c>
      <c r="R120" s="1150" t="s">
        <v>301</v>
      </c>
      <c r="S120" s="1153">
        <v>7</v>
      </c>
      <c r="T120" s="1070" t="s">
        <v>385</v>
      </c>
      <c r="U120" s="1153">
        <v>4</v>
      </c>
      <c r="V120" s="1070" t="s">
        <v>386</v>
      </c>
      <c r="W120" s="1153">
        <v>8</v>
      </c>
      <c r="X120" s="1070" t="s">
        <v>385</v>
      </c>
      <c r="Y120" s="1153">
        <v>3</v>
      </c>
      <c r="Z120" s="1070" t="s">
        <v>387</v>
      </c>
      <c r="AA120" s="1070" t="s">
        <v>209</v>
      </c>
      <c r="AB120" s="1070">
        <f>IF(S120&gt;=1,(W120*12+Y120)-(S120*12+U120)+1,"")</f>
        <v>12</v>
      </c>
      <c r="AC120" s="1073" t="s">
        <v>388</v>
      </c>
      <c r="AD120" s="1064">
        <f>IFERROR(ROUNDDOWN(ROUND(L120*Q120,0)*M120,0)*AB120,"")</f>
        <v>17191980</v>
      </c>
      <c r="AE120" s="1067">
        <f>IFERROR(ROUNDDOWN(ROUNDDOWN(ROUND(L120*VLOOKUP(K120,【参考】数式用２!$A$2:$AC$48,MATCH("処遇改善加算Ⅳ",【参考】数式用２!$C$4:$O$4,0)+2,0),0)*M120,0)*AB120*0.5,0), "")</f>
        <v>5776872</v>
      </c>
      <c r="AF120" s="1130" t="s">
        <v>2653</v>
      </c>
      <c r="AG120" s="1064" t="str">
        <f>IF(AND(AQ120&lt;&gt;"対象外", P120&lt;&gt;""),ROUNDDOWN(ROUND(L120*VLOOKUP(K120,【参考】数式用２!$A$2:$K$48,MATCH("ベア加算あり",【参考】数式用２!$C$4:$K$4,0)+2,0),0)*M120,0)*AB120,"")</f>
        <v/>
      </c>
      <c r="AH120" s="1133"/>
      <c r="AI120" s="1130" t="s">
        <v>2653</v>
      </c>
      <c r="AJ120" s="1130" t="s">
        <v>2653</v>
      </c>
      <c r="AK120" s="1136"/>
      <c r="AL120" s="1139" t="s">
        <v>397</v>
      </c>
      <c r="AM120" s="681" t="str">
        <f>IF(Q120="","",IF(Q120&lt;O120,"！加算の要件上は問題ありませんが、令和６年度末の加算率と比較して、令和７年度の加算率が低くなっています。",""))</f>
        <v/>
      </c>
      <c r="AN120" s="371"/>
      <c r="AO120" s="1125" t="str">
        <f>IF(K120&lt;&gt;"","Q列に色付け","")</f>
        <v>Q列に色付け</v>
      </c>
      <c r="AP120" s="1142" t="str">
        <f>IF(AND(AE120&lt;&gt;0,AE120&lt;&gt;""),IF(AF120="○","入力済","未入力"),"")</f>
        <v>入力済</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対象外</v>
      </c>
      <c r="AV120" s="843" t="str">
        <f>IF(AND(P120&lt;&gt;"処遇改善加算Ⅲ",P120&lt;&gt;"処遇改善加算Ⅳ", P120&lt;&gt;"", AU120&lt;&gt;"対象外"), 1,"")</f>
        <v/>
      </c>
      <c r="AW120" s="843" t="str">
        <f>IFERROR("_"&amp;VLOOKUP(K120, 【参考】数式用２!$AG$2:$AH$48, 2, FALSE), "")</f>
        <v>_37</v>
      </c>
      <c r="AX120" s="1143" t="str">
        <f>IF(AND(P120="処遇改善加算Ⅰ", AL120=""), "未入力","入力済")</f>
        <v>入力済</v>
      </c>
      <c r="AY120" s="1125" t="str">
        <f>G120</f>
        <v>生駒市</v>
      </c>
      <c r="AZ120"/>
      <c r="BA120"/>
      <c r="BB120"/>
      <c r="BC120"/>
      <c r="BD120"/>
      <c r="BE120"/>
      <c r="BF120"/>
      <c r="BG120"/>
    </row>
    <row r="121" spans="1:59" ht="14.4">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1"/>
      <c r="AO121" s="1126"/>
      <c r="AP121" s="1142"/>
      <c r="AQ121" s="981"/>
      <c r="AR121" s="843"/>
      <c r="AS121" s="843"/>
      <c r="AT121" s="843"/>
      <c r="AU121" s="843"/>
      <c r="AV121" s="843"/>
      <c r="AW121" s="843"/>
      <c r="AX121" s="1143"/>
      <c r="AY121" s="1126"/>
      <c r="AZ121"/>
      <c r="BA121"/>
      <c r="BB121"/>
      <c r="BC121"/>
      <c r="BD121"/>
      <c r="BE121"/>
      <c r="BF121"/>
      <c r="BG121"/>
    </row>
    <row r="122" spans="1:59" ht="14.4">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71"/>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682"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1"/>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1111111135</v>
      </c>
      <c r="C124" s="1082"/>
      <c r="D124" s="1082"/>
      <c r="E124" s="1082"/>
      <c r="F124" s="1083"/>
      <c r="G124" s="1089" t="str">
        <f>IF(基本情報入力シート!L68="", "",基本情報入力シート!L68)</f>
        <v>生駒市</v>
      </c>
      <c r="H124" s="1089" t="str">
        <f>IF(基本情報入力シート!Q68="", "",基本情報入力シート!Q68)</f>
        <v>奈良県</v>
      </c>
      <c r="I124" s="1089" t="str">
        <f>IF(基本情報入力シート!V68="", "",基本情報入力シート!V68)</f>
        <v>生駒市</v>
      </c>
      <c r="J124" s="1089" t="str">
        <f>IF(基本情報入力シート!W68="", "",基本情報入力シート!W68)</f>
        <v>○○GH</v>
      </c>
      <c r="K124" s="1089" t="str">
        <f>IF(基本情報入力シート!X68="", "",基本情報入力シート!X68)</f>
        <v>介護予防認知症対応型共同生活介護（短期利用型）</v>
      </c>
      <c r="L124" s="1092">
        <f>IF(基本情報入力シート!AC68=0, "",基本情報入力シート!AC68)</f>
        <v>750000</v>
      </c>
      <c r="M124" s="1095">
        <f>IF(基本情報入力シート!AD68="", "",基本情報入力シート!AD68)</f>
        <v>10.27</v>
      </c>
      <c r="N124" s="1076" t="s">
        <v>393</v>
      </c>
      <c r="O124" s="1061">
        <f>IFERROR(VLOOKUP(K124,【参考】数式用２!$A$2:$AD$48,MATCH(N124,【参考】数式用２!$C$4:$AD$4,0)+2,0),"")</f>
        <v>0.125</v>
      </c>
      <c r="P124" s="1144" t="s">
        <v>384</v>
      </c>
      <c r="Q124" s="1147">
        <f>IFERROR(VLOOKUP(K124,【参考】数式用２!$A$2:$AC$48,MATCH(P124,【参考】数式用２!$C$4:$AC$4,0)+2,0),"")</f>
        <v>0.186</v>
      </c>
      <c r="R124" s="1150" t="s">
        <v>301</v>
      </c>
      <c r="S124" s="1153">
        <v>7</v>
      </c>
      <c r="T124" s="1070" t="s">
        <v>385</v>
      </c>
      <c r="U124" s="1153">
        <v>4</v>
      </c>
      <c r="V124" s="1070" t="s">
        <v>386</v>
      </c>
      <c r="W124" s="1153">
        <v>8</v>
      </c>
      <c r="X124" s="1070" t="s">
        <v>385</v>
      </c>
      <c r="Y124" s="1153">
        <v>3</v>
      </c>
      <c r="Z124" s="1070" t="s">
        <v>387</v>
      </c>
      <c r="AA124" s="1070" t="s">
        <v>209</v>
      </c>
      <c r="AB124" s="1070">
        <f>IF(S124&gt;=1,(W124*12+Y124)-(S124*12+U124)+1,"")</f>
        <v>12</v>
      </c>
      <c r="AC124" s="1073" t="s">
        <v>388</v>
      </c>
      <c r="AD124" s="1064">
        <f>IFERROR(ROUNDDOWN(ROUND(L124*Q124,0)*M124,0)*AB124,"")</f>
        <v>17191980</v>
      </c>
      <c r="AE124" s="1067">
        <f>IFERROR(ROUNDDOWN(ROUNDDOWN(ROUND(L124*VLOOKUP(K124,【参考】数式用２!$A$2:$AC$48,MATCH("処遇改善加算Ⅳ",【参考】数式用２!$C$4:$O$4,0)+2,0),0)*M124,0)*AB124*0.5,0), "")</f>
        <v>5776872</v>
      </c>
      <c r="AF124" s="1130" t="s">
        <v>2653</v>
      </c>
      <c r="AG124" s="1064" t="str">
        <f>IF(AND(AQ124&lt;&gt;"対象外", P124&lt;&gt;""),ROUNDDOWN(ROUND(L124*VLOOKUP(K124,【参考】数式用２!$A$2:$K$48,MATCH("ベア加算あり",【参考】数式用２!$C$4:$K$4,0)+2,0),0)*M124,0)*AB124,"")</f>
        <v/>
      </c>
      <c r="AH124" s="1133"/>
      <c r="AI124" s="1130" t="s">
        <v>389</v>
      </c>
      <c r="AJ124" s="1130" t="s">
        <v>389</v>
      </c>
      <c r="AK124" s="1136"/>
      <c r="AL124" s="1139" t="s">
        <v>397</v>
      </c>
      <c r="AM124" s="681" t="str">
        <f>IF(Q124="","",IF(Q124&lt;O124,"！加算の要件上は問題ありませんが、令和６年度末の加算率と比較して、令和７年度の加算率が低くなっています。",""))</f>
        <v/>
      </c>
      <c r="AN124" s="371"/>
      <c r="AO124" s="1125" t="str">
        <f>IF(K124&lt;&gt;"","Q列に色付け","")</f>
        <v>Q列に色付け</v>
      </c>
      <c r="AP124" s="1142" t="str">
        <f>IF(AND(AE124&lt;&gt;0,AE124&lt;&gt;""),IF(AF124="○","入力済","未入力"),"")</f>
        <v>入力済</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対象外</v>
      </c>
      <c r="AV124" s="843" t="str">
        <f>IF(AND(P124&lt;&gt;"処遇改善加算Ⅲ",P124&lt;&gt;"処遇改善加算Ⅳ", P124&lt;&gt;"", AU124&lt;&gt;"対象外"), 1,"")</f>
        <v/>
      </c>
      <c r="AW124" s="843" t="str">
        <f>IFERROR("_"&amp;VLOOKUP(K124, 【参考】数式用２!$AG$2:$AH$48, 2, FALSE), "")</f>
        <v>_39</v>
      </c>
      <c r="AX124" s="1143" t="str">
        <f>IF(AND(P124="処遇改善加算Ⅰ", AL124=""), "未入力","入力済")</f>
        <v>入力済</v>
      </c>
      <c r="AY124" s="1125" t="str">
        <f>G124</f>
        <v>生駒市</v>
      </c>
      <c r="AZ124"/>
      <c r="BA124"/>
      <c r="BB124"/>
      <c r="BC124"/>
      <c r="BD124"/>
      <c r="BE124"/>
      <c r="BF124"/>
      <c r="BG124"/>
    </row>
    <row r="125" spans="1:59" ht="14.4">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1"/>
      <c r="AO125" s="1126"/>
      <c r="AP125" s="1142"/>
      <c r="AQ125" s="981"/>
      <c r="AR125" s="843"/>
      <c r="AS125" s="843"/>
      <c r="AT125" s="843"/>
      <c r="AU125" s="843"/>
      <c r="AV125" s="843"/>
      <c r="AW125" s="843"/>
      <c r="AX125" s="1143"/>
      <c r="AY125" s="1126"/>
      <c r="AZ125"/>
      <c r="BA125"/>
      <c r="BB125"/>
      <c r="BC125"/>
      <c r="BD125"/>
      <c r="BE125"/>
      <c r="BF125"/>
      <c r="BG125"/>
    </row>
    <row r="126" spans="1:59" ht="14.4">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71"/>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682"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1"/>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1111111136</v>
      </c>
      <c r="C128" s="1082"/>
      <c r="D128" s="1082"/>
      <c r="E128" s="1082"/>
      <c r="F128" s="1083"/>
      <c r="G128" s="1089" t="str">
        <f>IF(基本情報入力シート!L69="", "",基本情報入力シート!L69)</f>
        <v>奈良県</v>
      </c>
      <c r="H128" s="1089" t="str">
        <f>IF(基本情報入力シート!Q69="", "",基本情報入力シート!Q69)</f>
        <v>奈良県</v>
      </c>
      <c r="I128" s="1089" t="str">
        <f>IF(基本情報入力シート!V69="", "",基本情報入力シート!V69)</f>
        <v>奈良市</v>
      </c>
      <c r="J128" s="1089" t="str">
        <f>IF(基本情報入力シート!W69="", "",基本情報入力シート!W69)</f>
        <v>○○施設</v>
      </c>
      <c r="K128" s="1089" t="str">
        <f>IF(基本情報入力シート!X69="", "",基本情報入力シート!X69)</f>
        <v>介護老人福祉施設サービス</v>
      </c>
      <c r="L128" s="1092">
        <f>IF(基本情報入力シート!AC69=0, "",基本情報入力シート!AC69)</f>
        <v>750000</v>
      </c>
      <c r="M128" s="1095">
        <f>IF(基本情報入力シート!AD69="", "",基本情報入力シート!AD69)</f>
        <v>10.27</v>
      </c>
      <c r="N128" s="1076" t="s">
        <v>393</v>
      </c>
      <c r="O128" s="1061">
        <f>IFERROR(VLOOKUP(K128,【参考】数式用２!$A$2:$AD$48,MATCH(N128,【参考】数式用２!$C$4:$AD$4,0)+2,0),"")</f>
        <v>0.09</v>
      </c>
      <c r="P128" s="1144" t="s">
        <v>384</v>
      </c>
      <c r="Q128" s="1147">
        <f>IFERROR(VLOOKUP(K128,【参考】数式用２!$A$2:$AC$48,MATCH(P128,【参考】数式用２!$C$4:$AC$4,0)+2,0),"")</f>
        <v>0.14000000000000001</v>
      </c>
      <c r="R128" s="1150" t="s">
        <v>301</v>
      </c>
      <c r="S128" s="1153">
        <v>7</v>
      </c>
      <c r="T128" s="1070" t="s">
        <v>385</v>
      </c>
      <c r="U128" s="1153">
        <v>4</v>
      </c>
      <c r="V128" s="1070" t="s">
        <v>386</v>
      </c>
      <c r="W128" s="1153">
        <v>8</v>
      </c>
      <c r="X128" s="1070" t="s">
        <v>385</v>
      </c>
      <c r="Y128" s="1153">
        <v>3</v>
      </c>
      <c r="Z128" s="1070" t="s">
        <v>387</v>
      </c>
      <c r="AA128" s="1070" t="s">
        <v>209</v>
      </c>
      <c r="AB128" s="1070">
        <f>IF(S128&gt;=1,(W128*12+Y128)-(S128*12+U128)+1,"")</f>
        <v>12</v>
      </c>
      <c r="AC128" s="1073" t="s">
        <v>388</v>
      </c>
      <c r="AD128" s="1064">
        <f>IFERROR(ROUNDDOWN(ROUND(L128*Q128,0)*M128,0)*AB128,"")</f>
        <v>12940200</v>
      </c>
      <c r="AE128" s="1067">
        <f>IFERROR(ROUNDDOWN(ROUNDDOWN(ROUND(L128*VLOOKUP(K128,【参考】数式用２!$A$2:$AC$48,MATCH("処遇改善加算Ⅳ",【参考】数式用２!$C$4:$O$4,0)+2,0),0)*M128,0)*AB128*0.5,0), "")</f>
        <v>4159350</v>
      </c>
      <c r="AF128" s="1130" t="s">
        <v>2653</v>
      </c>
      <c r="AG128" s="1064" t="str">
        <f>IF(AND(AQ128&lt;&gt;"対象外", P128&lt;&gt;""),ROUNDDOWN(ROUND(L128*VLOOKUP(K128,【参考】数式用２!$A$2:$K$48,MATCH("ベア加算あり",【参考】数式用２!$C$4:$K$4,0)+2,0),0)*M128,0)*AB128,"")</f>
        <v/>
      </c>
      <c r="AH128" s="1133"/>
      <c r="AI128" s="1130" t="s">
        <v>389</v>
      </c>
      <c r="AJ128" s="1130" t="s">
        <v>389</v>
      </c>
      <c r="AK128" s="1136">
        <v>1</v>
      </c>
      <c r="AL128" s="1139" t="s">
        <v>397</v>
      </c>
      <c r="AM128" s="681" t="str">
        <f>IF(Q128="","",IF(Q128&lt;O128,"！加算の要件上は問題ありませんが、令和６年度末の加算率と比較して、令和７年度の加算率が低くなっています。",""))</f>
        <v/>
      </c>
      <c r="AN128" s="371"/>
      <c r="AO128" s="1125" t="str">
        <f>IF(K128&lt;&gt;"","Q列に色付け","")</f>
        <v>Q列に色付け</v>
      </c>
      <c r="AP128" s="1142" t="str">
        <f>IF(AND(AE128&lt;&gt;0,AE128&lt;&gt;""),IF(AF128="○","入力済","未入力"),"")</f>
        <v>入力済</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対象</v>
      </c>
      <c r="AV128" s="843">
        <f>IF(AND(P128&lt;&gt;"処遇改善加算Ⅲ",P128&lt;&gt;"処遇改善加算Ⅳ", P128&lt;&gt;"", AU128&lt;&gt;"対象外"), 1,"")</f>
        <v>1</v>
      </c>
      <c r="AW128" s="843" t="str">
        <f>IFERROR("_"&amp;VLOOKUP(K128, 【参考】数式用２!$AG$2:$AH$48, 2, FALSE), "")</f>
        <v>_51</v>
      </c>
      <c r="AX128" s="1143" t="str">
        <f>IF(AND(P128="処遇改善加算Ⅰ", AL128=""), "未入力","入力済")</f>
        <v>入力済</v>
      </c>
      <c r="AY128" s="1125" t="str">
        <f>G128</f>
        <v>奈良県</v>
      </c>
      <c r="AZ128"/>
      <c r="BA128"/>
      <c r="BB128"/>
      <c r="BC128"/>
      <c r="BD128"/>
      <c r="BE128"/>
      <c r="BF128"/>
      <c r="BG128"/>
    </row>
    <row r="129" spans="1:59" ht="14.4">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1"/>
      <c r="AO129" s="1126"/>
      <c r="AP129" s="1142"/>
      <c r="AQ129" s="981"/>
      <c r="AR129" s="843"/>
      <c r="AS129" s="843"/>
      <c r="AT129" s="843"/>
      <c r="AU129" s="843"/>
      <c r="AV129" s="843"/>
      <c r="AW129" s="843"/>
      <c r="AX129" s="1143"/>
      <c r="AY129" s="1126"/>
      <c r="AZ129"/>
      <c r="BA129"/>
      <c r="BB129"/>
      <c r="BC129"/>
      <c r="BD129"/>
      <c r="BE129"/>
      <c r="BF129"/>
      <c r="BG129"/>
    </row>
    <row r="130" spans="1:59" ht="14.4">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71"/>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682"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1"/>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1111111137</v>
      </c>
      <c r="C132" s="1082"/>
      <c r="D132" s="1082"/>
      <c r="E132" s="1082"/>
      <c r="F132" s="1083"/>
      <c r="G132" s="1089" t="str">
        <f>IF(基本情報入力シート!L70="", "",基本情報入力シート!L70)</f>
        <v>香芝市</v>
      </c>
      <c r="H132" s="1089" t="str">
        <f>IF(基本情報入力シート!Q70="", "",基本情報入力シート!Q70)</f>
        <v>奈良県</v>
      </c>
      <c r="I132" s="1089" t="str">
        <f>IF(基本情報入力シート!V70="", "",基本情報入力シート!V70)</f>
        <v>香芝市</v>
      </c>
      <c r="J132" s="1089" t="str">
        <f>IF(基本情報入力シート!W70="", "",基本情報入力シート!W70)</f>
        <v>○○施設</v>
      </c>
      <c r="K132" s="1089" t="str">
        <f>IF(基本情報入力シート!X70="", "",基本情報入力シート!X70)</f>
        <v>地域密着型介護老人福祉施設</v>
      </c>
      <c r="L132" s="1092">
        <f>IF(基本情報入力シート!AC70=0, "",基本情報入力シート!AC70)</f>
        <v>750000</v>
      </c>
      <c r="M132" s="1095">
        <f>IF(基本情報入力シート!AD70="", "",基本情報入力シート!AD70)</f>
        <v>10.14</v>
      </c>
      <c r="N132" s="1076" t="s">
        <v>393</v>
      </c>
      <c r="O132" s="1061">
        <f>IFERROR(VLOOKUP(K132,【参考】数式用２!$A$2:$AD$48,MATCH(N132,【参考】数式用２!$C$4:$AD$4,0)+2,0),"")</f>
        <v>0.09</v>
      </c>
      <c r="P132" s="1144" t="s">
        <v>384</v>
      </c>
      <c r="Q132" s="1147">
        <f>IFERROR(VLOOKUP(K132,【参考】数式用２!$A$2:$AC$48,MATCH(P132,【参考】数式用２!$C$4:$AC$4,0)+2,0),"")</f>
        <v>0.14000000000000001</v>
      </c>
      <c r="R132" s="1150" t="s">
        <v>301</v>
      </c>
      <c r="S132" s="1153">
        <v>7</v>
      </c>
      <c r="T132" s="1070" t="s">
        <v>385</v>
      </c>
      <c r="U132" s="1153">
        <v>4</v>
      </c>
      <c r="V132" s="1070" t="s">
        <v>386</v>
      </c>
      <c r="W132" s="1153">
        <v>8</v>
      </c>
      <c r="X132" s="1070" t="s">
        <v>385</v>
      </c>
      <c r="Y132" s="1153">
        <v>3</v>
      </c>
      <c r="Z132" s="1070" t="s">
        <v>387</v>
      </c>
      <c r="AA132" s="1070" t="s">
        <v>209</v>
      </c>
      <c r="AB132" s="1070">
        <f>IF(S132&gt;=1,(W132*12+Y132)-(S132*12+U132)+1,"")</f>
        <v>12</v>
      </c>
      <c r="AC132" s="1073" t="s">
        <v>388</v>
      </c>
      <c r="AD132" s="1064">
        <f>IFERROR(ROUNDDOWN(ROUND(L132*Q132,0)*M132,0)*AB132,"")</f>
        <v>12776400</v>
      </c>
      <c r="AE132" s="1067">
        <f>IFERROR(ROUNDDOWN(ROUNDDOWN(ROUND(L132*VLOOKUP(K132,【参考】数式用２!$A$2:$AC$48,MATCH("処遇改善加算Ⅳ",【参考】数式用２!$C$4:$O$4,0)+2,0),0)*M132,0)*AB132*0.5,0), "")</f>
        <v>4106700</v>
      </c>
      <c r="AF132" s="1130" t="s">
        <v>2653</v>
      </c>
      <c r="AG132" s="1064" t="str">
        <f>IF(AND(AQ132&lt;&gt;"対象外", P132&lt;&gt;""),ROUNDDOWN(ROUND(L132*VLOOKUP(K132,【参考】数式用２!$A$2:$K$48,MATCH("ベア加算あり",【参考】数式用２!$C$4:$K$4,0)+2,0),0)*M132,0)*AB132,"")</f>
        <v/>
      </c>
      <c r="AH132" s="1133"/>
      <c r="AI132" s="1130" t="s">
        <v>2653</v>
      </c>
      <c r="AJ132" s="1130" t="s">
        <v>2653</v>
      </c>
      <c r="AK132" s="1136">
        <v>1</v>
      </c>
      <c r="AL132" s="1139" t="s">
        <v>397</v>
      </c>
      <c r="AM132" s="681" t="str">
        <f>IF(Q132="","",IF(Q132&lt;O132,"！加算の要件上は問題ありませんが、令和６年度末の加算率と比較して、令和７年度の加算率が低くなっています。",""))</f>
        <v/>
      </c>
      <c r="AN132" s="371"/>
      <c r="AO132" s="1125" t="str">
        <f>IF(K132&lt;&gt;"","Q列に色付け","")</f>
        <v>Q列に色付け</v>
      </c>
      <c r="AP132" s="1142" t="str">
        <f>IF(AND(AE132&lt;&gt;0,AE132&lt;&gt;""),IF(AF132="○","入力済","未入力"),"")</f>
        <v>入力済</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対象</v>
      </c>
      <c r="AV132" s="843">
        <f>IF(AND(P132&lt;&gt;"処遇改善加算Ⅲ",P132&lt;&gt;"処遇改善加算Ⅳ", P132&lt;&gt;"", AU132&lt;&gt;"対象外"), 1,"")</f>
        <v>1</v>
      </c>
      <c r="AW132" s="843" t="str">
        <f>IFERROR("_"&amp;VLOOKUP(K132, 【参考】数式用２!$AG$2:$AH$48, 2, FALSE), "")</f>
        <v>_54</v>
      </c>
      <c r="AX132" s="1143" t="str">
        <f>IF(AND(P132="処遇改善加算Ⅰ", AL132=""), "未入力","入力済")</f>
        <v>入力済</v>
      </c>
      <c r="AY132" s="1125" t="str">
        <f>G132</f>
        <v>香芝市</v>
      </c>
      <c r="AZ132"/>
      <c r="BA132"/>
      <c r="BB132"/>
      <c r="BC132"/>
      <c r="BD132"/>
      <c r="BE132"/>
      <c r="BF132"/>
      <c r="BG132"/>
    </row>
    <row r="133" spans="1:59" ht="14.4">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1"/>
      <c r="AO133" s="1126"/>
      <c r="AP133" s="1142"/>
      <c r="AQ133" s="981"/>
      <c r="AR133" s="843"/>
      <c r="AS133" s="843"/>
      <c r="AT133" s="843"/>
      <c r="AU133" s="843"/>
      <c r="AV133" s="843"/>
      <c r="AW133" s="843"/>
      <c r="AX133" s="1143"/>
      <c r="AY133" s="1126"/>
      <c r="AZ133"/>
      <c r="BA133"/>
      <c r="BB133"/>
      <c r="BC133"/>
      <c r="BD133"/>
      <c r="BE133"/>
      <c r="BF133"/>
      <c r="BG133"/>
    </row>
    <row r="134" spans="1:59" ht="14.4">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71"/>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682"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1"/>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1111111138</v>
      </c>
      <c r="C136" s="1082"/>
      <c r="D136" s="1082"/>
      <c r="E136" s="1082"/>
      <c r="F136" s="1083"/>
      <c r="G136" s="1089" t="str">
        <f>IF(基本情報入力シート!L71="", "",基本情報入力シート!L71)</f>
        <v>奈良県</v>
      </c>
      <c r="H136" s="1089" t="str">
        <f>IF(基本情報入力シート!Q71="", "",基本情報入力シート!Q71)</f>
        <v>奈良県</v>
      </c>
      <c r="I136" s="1089" t="str">
        <f>IF(基本情報入力シート!V71="", "",基本情報入力シート!V71)</f>
        <v>奈良市</v>
      </c>
      <c r="J136" s="1089" t="str">
        <f>IF(基本情報入力シート!W71="", "",基本情報入力シート!W71)</f>
        <v>○○施設</v>
      </c>
      <c r="K136" s="1089" t="str">
        <f>IF(基本情報入力シート!X71="", "",基本情報入力シート!X71)</f>
        <v>短期入所生活介護</v>
      </c>
      <c r="L136" s="1092">
        <f>IF(基本情報入力シート!AC71=0, "",基本情報入力シート!AC71)</f>
        <v>750000</v>
      </c>
      <c r="M136" s="1095">
        <f>IF(基本情報入力シート!AD71="", "",基本情報入力シート!AD71)</f>
        <v>10.33</v>
      </c>
      <c r="N136" s="1076" t="s">
        <v>393</v>
      </c>
      <c r="O136" s="1061">
        <f>IFERROR(VLOOKUP(K136,【参考】数式用２!$A$2:$AD$48,MATCH(N136,【参考】数式用２!$C$4:$AD$4,0)+2,0),"")</f>
        <v>0.09</v>
      </c>
      <c r="P136" s="1144" t="s">
        <v>384</v>
      </c>
      <c r="Q136" s="1147">
        <f>IFERROR(VLOOKUP(K136,【参考】数式用２!$A$2:$AC$48,MATCH(P136,【参考】数式用２!$C$4:$AC$4,0)+2,0),"")</f>
        <v>0.14000000000000001</v>
      </c>
      <c r="R136" s="1150" t="s">
        <v>301</v>
      </c>
      <c r="S136" s="1153">
        <v>7</v>
      </c>
      <c r="T136" s="1070" t="s">
        <v>385</v>
      </c>
      <c r="U136" s="1153">
        <v>4</v>
      </c>
      <c r="V136" s="1070" t="s">
        <v>386</v>
      </c>
      <c r="W136" s="1153">
        <v>8</v>
      </c>
      <c r="X136" s="1070" t="s">
        <v>385</v>
      </c>
      <c r="Y136" s="1153">
        <v>3</v>
      </c>
      <c r="Z136" s="1070" t="s">
        <v>387</v>
      </c>
      <c r="AA136" s="1070" t="s">
        <v>209</v>
      </c>
      <c r="AB136" s="1070">
        <f>IF(S136&gt;=1,(W136*12+Y136)-(S136*12+U136)+1,"")</f>
        <v>12</v>
      </c>
      <c r="AC136" s="1073" t="s">
        <v>388</v>
      </c>
      <c r="AD136" s="1064">
        <f>IFERROR(ROUNDDOWN(ROUND(L136*Q136,0)*M136,0)*AB136,"")</f>
        <v>13015800</v>
      </c>
      <c r="AE136" s="1067">
        <f>IFERROR(ROUNDDOWN(ROUNDDOWN(ROUND(L136*VLOOKUP(K136,【参考】数式用２!$A$2:$AC$48,MATCH("処遇改善加算Ⅳ",【参考】数式用２!$C$4:$O$4,0)+2,0),0)*M136,0)*AB136*0.5,0), "")</f>
        <v>4183650</v>
      </c>
      <c r="AF136" s="1130" t="s">
        <v>2653</v>
      </c>
      <c r="AG136" s="1064" t="str">
        <f>IF(AND(AQ136&lt;&gt;"対象外", P136&lt;&gt;""),ROUNDDOWN(ROUND(L136*VLOOKUP(K136,【参考】数式用２!$A$2:$K$48,MATCH("ベア加算あり",【参考】数式用２!$C$4:$K$4,0)+2,0),0)*M136,0)*AB136,"")</f>
        <v/>
      </c>
      <c r="AH136" s="1133"/>
      <c r="AI136" s="1130" t="s">
        <v>2653</v>
      </c>
      <c r="AJ136" s="1130" t="s">
        <v>389</v>
      </c>
      <c r="AK136" s="1136"/>
      <c r="AL136" s="1139" t="s">
        <v>397</v>
      </c>
      <c r="AM136" s="681" t="str">
        <f>IF(Q136="","",IF(Q136&lt;O136,"！加算の要件上は問題ありませんが、令和６年度末の加算率と比較して、令和７年度の加算率が低くなっています。",""))</f>
        <v/>
      </c>
      <c r="AN136" s="371"/>
      <c r="AO136" s="1125" t="str">
        <f>IF(K136&lt;&gt;"","Q列に色付け","")</f>
        <v>Q列に色付け</v>
      </c>
      <c r="AP136" s="1142" t="str">
        <f>IF(AND(AE136&lt;&gt;0,AE136&lt;&gt;""),IF(AF136="○","入力済","未入力"),"")</f>
        <v>入力済</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対象外</v>
      </c>
      <c r="AV136" s="843" t="str">
        <f>IF(AND(P136&lt;&gt;"処遇改善加算Ⅲ",P136&lt;&gt;"処遇改善加算Ⅳ", P136&lt;&gt;"", AU136&lt;&gt;"対象外"), 1,"")</f>
        <v/>
      </c>
      <c r="AW136" s="843" t="str">
        <f>IFERROR("_"&amp;VLOOKUP(K136, 【参考】数式用２!$AG$2:$AH$48, 2, FALSE), "")</f>
        <v>_21</v>
      </c>
      <c r="AX136" s="1143" t="str">
        <f>IF(AND(P136="処遇改善加算Ⅰ", AL136=""), "未入力","入力済")</f>
        <v>入力済</v>
      </c>
      <c r="AY136" s="1125" t="str">
        <f>G136</f>
        <v>奈良県</v>
      </c>
      <c r="AZ136"/>
      <c r="BA136"/>
      <c r="BB136"/>
      <c r="BC136"/>
      <c r="BD136"/>
      <c r="BE136"/>
      <c r="BF136"/>
      <c r="BG136"/>
    </row>
    <row r="137" spans="1:59" ht="14.4">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1"/>
      <c r="AO137" s="1126"/>
      <c r="AP137" s="1142"/>
      <c r="AQ137" s="981"/>
      <c r="AR137" s="843"/>
      <c r="AS137" s="843"/>
      <c r="AT137" s="843"/>
      <c r="AU137" s="843"/>
      <c r="AV137" s="843"/>
      <c r="AW137" s="843"/>
      <c r="AX137" s="1143"/>
      <c r="AY137" s="1126"/>
      <c r="AZ137"/>
      <c r="BA137"/>
      <c r="BB137"/>
      <c r="BC137"/>
      <c r="BD137"/>
      <c r="BE137"/>
      <c r="BF137"/>
      <c r="BG137"/>
    </row>
    <row r="138" spans="1:59" ht="14.4">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71"/>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682"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1"/>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1111111139</v>
      </c>
      <c r="C140" s="1082"/>
      <c r="D140" s="1082"/>
      <c r="E140" s="1082"/>
      <c r="F140" s="1083"/>
      <c r="G140" s="1089" t="str">
        <f>IF(基本情報入力シート!L72="", "",基本情報入力シート!L72)</f>
        <v>奈良県</v>
      </c>
      <c r="H140" s="1089" t="str">
        <f>IF(基本情報入力シート!Q72="", "",基本情報入力シート!Q72)</f>
        <v>奈良県</v>
      </c>
      <c r="I140" s="1089" t="str">
        <f>IF(基本情報入力シート!V72="", "",基本情報入力シート!V72)</f>
        <v>奈良市</v>
      </c>
      <c r="J140" s="1089" t="str">
        <f>IF(基本情報入力シート!W72="", "",基本情報入力シート!W72)</f>
        <v>○○施設</v>
      </c>
      <c r="K140" s="1089" t="str">
        <f>IF(基本情報入力シート!X72="", "",基本情報入力シート!X72)</f>
        <v>介護予防短期入所生活介護</v>
      </c>
      <c r="L140" s="1092">
        <f>IF(基本情報入力シート!AC72=0, "",基本情報入力シート!AC72)</f>
        <v>750000</v>
      </c>
      <c r="M140" s="1095">
        <f>IF(基本情報入力シート!AD72="", "",基本情報入力シート!AD72)</f>
        <v>10.33</v>
      </c>
      <c r="N140" s="1076" t="s">
        <v>393</v>
      </c>
      <c r="O140" s="1061">
        <f>IFERROR(VLOOKUP(K140,【参考】数式用２!$A$2:$AD$48,MATCH(N140,【参考】数式用２!$C$4:$AD$4,0)+2,0),"")</f>
        <v>0.09</v>
      </c>
      <c r="P140" s="1144" t="s">
        <v>384</v>
      </c>
      <c r="Q140" s="1147">
        <f>IFERROR(VLOOKUP(K140,【参考】数式用２!$A$2:$AC$48,MATCH(P140,【参考】数式用２!$C$4:$AC$4,0)+2,0),"")</f>
        <v>0.14000000000000001</v>
      </c>
      <c r="R140" s="1150" t="s">
        <v>301</v>
      </c>
      <c r="S140" s="1153">
        <v>7</v>
      </c>
      <c r="T140" s="1070" t="s">
        <v>385</v>
      </c>
      <c r="U140" s="1153">
        <v>4</v>
      </c>
      <c r="V140" s="1070" t="s">
        <v>386</v>
      </c>
      <c r="W140" s="1153">
        <v>8</v>
      </c>
      <c r="X140" s="1070" t="s">
        <v>385</v>
      </c>
      <c r="Y140" s="1153">
        <v>3</v>
      </c>
      <c r="Z140" s="1070" t="s">
        <v>387</v>
      </c>
      <c r="AA140" s="1070" t="s">
        <v>209</v>
      </c>
      <c r="AB140" s="1070">
        <f>IF(S140&gt;=1,(W140*12+Y140)-(S140*12+U140)+1,"")</f>
        <v>12</v>
      </c>
      <c r="AC140" s="1073" t="s">
        <v>388</v>
      </c>
      <c r="AD140" s="1064">
        <f>IFERROR(ROUNDDOWN(ROUND(L140*Q140,0)*M140,0)*AB140,"")</f>
        <v>13015800</v>
      </c>
      <c r="AE140" s="1067">
        <f>IFERROR(ROUNDDOWN(ROUNDDOWN(ROUND(L140*VLOOKUP(K140,【参考】数式用２!$A$2:$AC$48,MATCH("処遇改善加算Ⅳ",【参考】数式用２!$C$4:$O$4,0)+2,0),0)*M140,0)*AB140*0.5,0), "")</f>
        <v>4183650</v>
      </c>
      <c r="AF140" s="1130" t="s">
        <v>2653</v>
      </c>
      <c r="AG140" s="1064" t="str">
        <f>IF(AND(AQ140&lt;&gt;"対象外", P140&lt;&gt;""),ROUNDDOWN(ROUND(L140*VLOOKUP(K140,【参考】数式用２!$A$2:$K$48,MATCH("ベア加算あり",【参考】数式用２!$C$4:$K$4,0)+2,0),0)*M140,0)*AB140,"")</f>
        <v/>
      </c>
      <c r="AH140" s="1133"/>
      <c r="AI140" s="1130" t="s">
        <v>389</v>
      </c>
      <c r="AJ140" s="1130" t="s">
        <v>389</v>
      </c>
      <c r="AK140" s="1136"/>
      <c r="AL140" s="1139" t="s">
        <v>397</v>
      </c>
      <c r="AM140" s="681" t="str">
        <f>IF(Q140="","",IF(Q140&lt;O140,"！加算の要件上は問題ありませんが、令和６年度末の加算率と比較して、令和７年度の加算率が低くなっています。",""))</f>
        <v/>
      </c>
      <c r="AN140" s="371"/>
      <c r="AO140" s="1125" t="str">
        <f>IF(K140&lt;&gt;"","Q列に色付け","")</f>
        <v>Q列に色付け</v>
      </c>
      <c r="AP140" s="1142" t="str">
        <f>IF(AND(AE140&lt;&gt;0,AE140&lt;&gt;""),IF(AF140="○","入力済","未入力"),"")</f>
        <v>入力済</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対象外</v>
      </c>
      <c r="AV140" s="843" t="str">
        <f>IF(AND(P140&lt;&gt;"処遇改善加算Ⅲ",P140&lt;&gt;"処遇改善加算Ⅳ", P140&lt;&gt;"", AU140&lt;&gt;"対象外"), 1,"")</f>
        <v/>
      </c>
      <c r="AW140" s="843" t="str">
        <f>IFERROR("_"&amp;VLOOKUP(K140, 【参考】数式用２!$AG$2:$AH$48, 2, FALSE), "")</f>
        <v>_24</v>
      </c>
      <c r="AX140" s="1143" t="str">
        <f>IF(AND(P140="処遇改善加算Ⅰ", AL140=""), "未入力","入力済")</f>
        <v>入力済</v>
      </c>
      <c r="AY140" s="1125" t="str">
        <f>G140</f>
        <v>奈良県</v>
      </c>
      <c r="AZ140"/>
      <c r="BA140"/>
      <c r="BB140"/>
      <c r="BC140"/>
      <c r="BD140"/>
      <c r="BE140"/>
      <c r="BF140"/>
      <c r="BG140"/>
    </row>
    <row r="141" spans="1:59" ht="14.4">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1"/>
      <c r="AO141" s="1126"/>
      <c r="AP141" s="1142"/>
      <c r="AQ141" s="981"/>
      <c r="AR141" s="843"/>
      <c r="AS141" s="843"/>
      <c r="AT141" s="843"/>
      <c r="AU141" s="843"/>
      <c r="AV141" s="843"/>
      <c r="AW141" s="843"/>
      <c r="AX141" s="1143"/>
      <c r="AY141" s="1126"/>
      <c r="AZ141"/>
      <c r="BA141"/>
      <c r="BB141"/>
      <c r="BC141"/>
      <c r="BD141"/>
      <c r="BE141"/>
      <c r="BF141"/>
      <c r="BG141"/>
    </row>
    <row r="142" spans="1:59" ht="14.4">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71"/>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682"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1"/>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1111111140</v>
      </c>
      <c r="C144" s="1082"/>
      <c r="D144" s="1082"/>
      <c r="E144" s="1082"/>
      <c r="F144" s="1083"/>
      <c r="G144" s="1089" t="str">
        <f>IF(基本情報入力シート!L73="", "",基本情報入力シート!L73)</f>
        <v>奈良県</v>
      </c>
      <c r="H144" s="1089" t="str">
        <f>IF(基本情報入力シート!Q73="", "",基本情報入力シート!Q73)</f>
        <v>奈良県</v>
      </c>
      <c r="I144" s="1089" t="str">
        <f>IF(基本情報入力シート!V73="", "",基本情報入力シート!V73)</f>
        <v>奈良市</v>
      </c>
      <c r="J144" s="1089" t="str">
        <f>IF(基本情報入力シート!W73="", "",基本情報入力シート!W73)</f>
        <v>○○施設</v>
      </c>
      <c r="K144" s="1089" t="str">
        <f>IF(基本情報入力シート!X73="", "",基本情報入力シート!X73)</f>
        <v>介護老人保健施設サービス</v>
      </c>
      <c r="L144" s="1092">
        <f>IF(基本情報入力シート!AC73=0, "",基本情報入力シート!AC73)</f>
        <v>750000</v>
      </c>
      <c r="M144" s="1095">
        <f>IF(基本情報入力シート!AD73="", "",基本情報入力シート!AD73)</f>
        <v>10.27</v>
      </c>
      <c r="N144" s="1076" t="s">
        <v>393</v>
      </c>
      <c r="O144" s="1061">
        <f>IFERROR(VLOOKUP(K144,【参考】数式用２!$A$2:$AD$48,MATCH(N144,【参考】数式用２!$C$4:$AD$4,0)+2,0),"")</f>
        <v>4.4000000000000004E-2</v>
      </c>
      <c r="P144" s="1144" t="s">
        <v>384</v>
      </c>
      <c r="Q144" s="1147">
        <f>IFERROR(VLOOKUP(K144,【参考】数式用２!$A$2:$AC$48,MATCH(P144,【参考】数式用２!$C$4:$AC$4,0)+2,0),"")</f>
        <v>7.5000000000000011E-2</v>
      </c>
      <c r="R144" s="1150" t="s">
        <v>301</v>
      </c>
      <c r="S144" s="1153">
        <v>7</v>
      </c>
      <c r="T144" s="1070" t="s">
        <v>385</v>
      </c>
      <c r="U144" s="1153">
        <v>4</v>
      </c>
      <c r="V144" s="1070" t="s">
        <v>386</v>
      </c>
      <c r="W144" s="1153">
        <v>8</v>
      </c>
      <c r="X144" s="1070" t="s">
        <v>385</v>
      </c>
      <c r="Y144" s="1153">
        <v>3</v>
      </c>
      <c r="Z144" s="1070" t="s">
        <v>387</v>
      </c>
      <c r="AA144" s="1070" t="s">
        <v>209</v>
      </c>
      <c r="AB144" s="1070">
        <f>IF(S144&gt;=1,(W144*12+Y144)-(S144*12+U144)+1,"")</f>
        <v>12</v>
      </c>
      <c r="AC144" s="1073" t="s">
        <v>388</v>
      </c>
      <c r="AD144" s="1064">
        <f>IFERROR(ROUNDDOWN(ROUND(L144*Q144,0)*M144,0)*AB144,"")</f>
        <v>6932244</v>
      </c>
      <c r="AE144" s="1067">
        <f>IFERROR(ROUNDDOWN(ROUNDDOWN(ROUND(L144*VLOOKUP(K144,【参考】数式用２!$A$2:$AC$48,MATCH("処遇改善加算Ⅳ",【参考】数式用２!$C$4:$O$4,0)+2,0),0)*M144,0)*AB144*0.5,0), "")</f>
        <v>2033460</v>
      </c>
      <c r="AF144" s="1130" t="s">
        <v>2653</v>
      </c>
      <c r="AG144" s="1064" t="str">
        <f>IF(AND(AQ144&lt;&gt;"対象外", P144&lt;&gt;""),ROUNDDOWN(ROUND(L144*VLOOKUP(K144,【参考】数式用２!$A$2:$K$48,MATCH("ベア加算あり",【参考】数式用２!$C$4:$K$4,0)+2,0),0)*M144,0)*AB144,"")</f>
        <v/>
      </c>
      <c r="AH144" s="1133"/>
      <c r="AI144" s="1130" t="s">
        <v>389</v>
      </c>
      <c r="AJ144" s="1130" t="s">
        <v>2653</v>
      </c>
      <c r="AK144" s="1136">
        <v>1</v>
      </c>
      <c r="AL144" s="1139" t="s">
        <v>397</v>
      </c>
      <c r="AM144" s="681" t="str">
        <f>IF(Q144="","",IF(Q144&lt;O144,"！加算の要件上は問題ありませんが、令和６年度末の加算率と比較して、令和７年度の加算率が低くなっています。",""))</f>
        <v/>
      </c>
      <c r="AN144" s="371"/>
      <c r="AO144" s="1125" t="str">
        <f>IF(K144&lt;&gt;"","Q列に色付け","")</f>
        <v>Q列に色付け</v>
      </c>
      <c r="AP144" s="1142" t="str">
        <f>IF(AND(AE144&lt;&gt;0,AE144&lt;&gt;""),IF(AF144="○","入力済","未入力"),"")</f>
        <v>入力済</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対象</v>
      </c>
      <c r="AV144" s="843">
        <f>IF(AND(P144&lt;&gt;"処遇改善加算Ⅲ",P144&lt;&gt;"処遇改善加算Ⅳ", P144&lt;&gt;"", AU144&lt;&gt;"対象外"), 1,"")</f>
        <v>1</v>
      </c>
      <c r="AW144" s="843" t="str">
        <f>IFERROR("_"&amp;VLOOKUP(K144, 【参考】数式用２!$AG$2:$AH$48, 2, FALSE), "")</f>
        <v>_52</v>
      </c>
      <c r="AX144" s="1143" t="str">
        <f>IF(AND(P144="処遇改善加算Ⅰ", AL144=""), "未入力","入力済")</f>
        <v>入力済</v>
      </c>
      <c r="AY144" s="1125" t="str">
        <f>G144</f>
        <v>奈良県</v>
      </c>
      <c r="AZ144"/>
      <c r="BA144"/>
      <c r="BB144"/>
      <c r="BC144"/>
      <c r="BD144"/>
      <c r="BE144"/>
      <c r="BF144"/>
      <c r="BG144"/>
    </row>
    <row r="145" spans="1:59" ht="14.4">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1"/>
      <c r="AO145" s="1126"/>
      <c r="AP145" s="1142"/>
      <c r="AQ145" s="981"/>
      <c r="AR145" s="843"/>
      <c r="AS145" s="843"/>
      <c r="AT145" s="843"/>
      <c r="AU145" s="843"/>
      <c r="AV145" s="843"/>
      <c r="AW145" s="843"/>
      <c r="AX145" s="1143"/>
      <c r="AY145" s="1126"/>
      <c r="AZ145"/>
      <c r="BA145"/>
      <c r="BB145"/>
      <c r="BC145"/>
      <c r="BD145"/>
      <c r="BE145"/>
      <c r="BF145"/>
      <c r="BG145"/>
    </row>
    <row r="146" spans="1:59" ht="14.4">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71"/>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682"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1"/>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1111111141</v>
      </c>
      <c r="C148" s="1082"/>
      <c r="D148" s="1082"/>
      <c r="E148" s="1082"/>
      <c r="F148" s="1083"/>
      <c r="G148" s="1089" t="str">
        <f>IF(基本情報入力シート!L74="", "",基本情報入力シート!L74)</f>
        <v>奈良県</v>
      </c>
      <c r="H148" s="1089" t="str">
        <f>IF(基本情報入力シート!Q74="", "",基本情報入力シート!Q74)</f>
        <v>奈良県</v>
      </c>
      <c r="I148" s="1089" t="str">
        <f>IF(基本情報入力シート!V74="", "",基本情報入力シート!V74)</f>
        <v>奈良市</v>
      </c>
      <c r="J148" s="1089" t="str">
        <f>IF(基本情報入力シート!W74="", "",基本情報入力シート!W74)</f>
        <v>○○施設</v>
      </c>
      <c r="K148" s="1089" t="str">
        <f>IF(基本情報入力シート!X74="", "",基本情報入力シート!X74)</f>
        <v>短期入所療養介護（介護老人保健施設）</v>
      </c>
      <c r="L148" s="1092">
        <f>IF(基本情報入力シート!AC74=0, "",基本情報入力シート!AC74)</f>
        <v>750000</v>
      </c>
      <c r="M148" s="1095">
        <f>IF(基本情報入力シート!AD74="", "",基本情報入力シート!AD74)</f>
        <v>10.27</v>
      </c>
      <c r="N148" s="1076" t="s">
        <v>393</v>
      </c>
      <c r="O148" s="1061">
        <f>IFERROR(VLOOKUP(K148,【参考】数式用２!$A$2:$AD$48,MATCH(N148,【参考】数式用２!$C$4:$AD$4,0)+2,0),"")</f>
        <v>4.4000000000000004E-2</v>
      </c>
      <c r="P148" s="1144" t="s">
        <v>384</v>
      </c>
      <c r="Q148" s="1147">
        <f>IFERROR(VLOOKUP(K148,【参考】数式用２!$A$2:$AC$48,MATCH(P148,【参考】数式用２!$C$4:$AC$4,0)+2,0),"")</f>
        <v>7.5000000000000011E-2</v>
      </c>
      <c r="R148" s="1150" t="s">
        <v>301</v>
      </c>
      <c r="S148" s="1153">
        <v>7</v>
      </c>
      <c r="T148" s="1070" t="s">
        <v>385</v>
      </c>
      <c r="U148" s="1153">
        <v>4</v>
      </c>
      <c r="V148" s="1070" t="s">
        <v>386</v>
      </c>
      <c r="W148" s="1153">
        <v>8</v>
      </c>
      <c r="X148" s="1070" t="s">
        <v>385</v>
      </c>
      <c r="Y148" s="1153">
        <v>3</v>
      </c>
      <c r="Z148" s="1070" t="s">
        <v>387</v>
      </c>
      <c r="AA148" s="1070" t="s">
        <v>209</v>
      </c>
      <c r="AB148" s="1070">
        <f>IF(S148&gt;=1,(W148*12+Y148)-(S148*12+U148)+1,"")</f>
        <v>12</v>
      </c>
      <c r="AC148" s="1073" t="s">
        <v>388</v>
      </c>
      <c r="AD148" s="1064">
        <f>IFERROR(ROUNDDOWN(ROUND(L148*Q148,0)*M148,0)*AB148,"")</f>
        <v>6932244</v>
      </c>
      <c r="AE148" s="1067">
        <f>IFERROR(ROUNDDOWN(ROUNDDOWN(ROUND(L148*VLOOKUP(K148,【参考】数式用２!$A$2:$AC$48,MATCH("処遇改善加算Ⅳ",【参考】数式用２!$C$4:$O$4,0)+2,0),0)*M148,0)*AB148*0.5,0), "")</f>
        <v>2033460</v>
      </c>
      <c r="AF148" s="1130" t="s">
        <v>2653</v>
      </c>
      <c r="AG148" s="1064" t="str">
        <f>IF(AND(AQ148&lt;&gt;"対象外", P148&lt;&gt;""),ROUNDDOWN(ROUND(L148*VLOOKUP(K148,【参考】数式用２!$A$2:$K$48,MATCH("ベア加算あり",【参考】数式用２!$C$4:$K$4,0)+2,0),0)*M148,0)*AB148,"")</f>
        <v/>
      </c>
      <c r="AH148" s="1133"/>
      <c r="AI148" s="1130" t="s">
        <v>2653</v>
      </c>
      <c r="AJ148" s="1130" t="s">
        <v>389</v>
      </c>
      <c r="AK148" s="1136"/>
      <c r="AL148" s="1139" t="s">
        <v>397</v>
      </c>
      <c r="AM148" s="681" t="str">
        <f>IF(Q148="","",IF(Q148&lt;O148,"！加算の要件上は問題ありませんが、令和６年度末の加算率と比較して、令和７年度の加算率が低くなっています。",""))</f>
        <v/>
      </c>
      <c r="AN148" s="371"/>
      <c r="AO148" s="1125" t="str">
        <f>IF(K148&lt;&gt;"","Q列に色付け","")</f>
        <v>Q列に色付け</v>
      </c>
      <c r="AP148" s="1142" t="str">
        <f>IF(AND(AE148&lt;&gt;0,AE148&lt;&gt;""),IF(AF148="○","入力済","未入力"),"")</f>
        <v>入力済</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対象外</v>
      </c>
      <c r="AV148" s="843" t="str">
        <f>IF(AND(P148&lt;&gt;"処遇改善加算Ⅲ",P148&lt;&gt;"処遇改善加算Ⅳ", P148&lt;&gt;"", AU148&lt;&gt;"対象外"), 1,"")</f>
        <v/>
      </c>
      <c r="AW148" s="843" t="str">
        <f>IFERROR("_"&amp;VLOOKUP(K148, 【参考】数式用２!$AG$2:$AH$48, 2, FALSE), "")</f>
        <v>_22</v>
      </c>
      <c r="AX148" s="1143" t="str">
        <f>IF(AND(P148="処遇改善加算Ⅰ", AL148=""), "未入力","入力済")</f>
        <v>入力済</v>
      </c>
      <c r="AY148" s="1125" t="str">
        <f>G148</f>
        <v>奈良県</v>
      </c>
      <c r="AZ148"/>
      <c r="BA148"/>
      <c r="BB148"/>
      <c r="BC148"/>
      <c r="BD148"/>
      <c r="BE148"/>
      <c r="BF148"/>
      <c r="BG148"/>
    </row>
    <row r="149" spans="1:59" ht="14.4">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1"/>
      <c r="AO149" s="1126"/>
      <c r="AP149" s="1142"/>
      <c r="AQ149" s="981"/>
      <c r="AR149" s="843"/>
      <c r="AS149" s="843"/>
      <c r="AT149" s="843"/>
      <c r="AU149" s="843"/>
      <c r="AV149" s="843"/>
      <c r="AW149" s="843"/>
      <c r="AX149" s="1143"/>
      <c r="AY149" s="1126"/>
      <c r="AZ149"/>
      <c r="BA149"/>
      <c r="BB149"/>
      <c r="BC149"/>
      <c r="BD149"/>
      <c r="BE149"/>
      <c r="BF149"/>
      <c r="BG149"/>
    </row>
    <row r="150" spans="1:59" ht="14.4">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71"/>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682"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1"/>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1111111142</v>
      </c>
      <c r="C152" s="1082"/>
      <c r="D152" s="1082"/>
      <c r="E152" s="1082"/>
      <c r="F152" s="1083"/>
      <c r="G152" s="1089" t="str">
        <f>IF(基本情報入力シート!L75="", "",基本情報入力シート!L75)</f>
        <v>奈良県</v>
      </c>
      <c r="H152" s="1089" t="str">
        <f>IF(基本情報入力シート!Q75="", "",基本情報入力シート!Q75)</f>
        <v>奈良県</v>
      </c>
      <c r="I152" s="1089" t="str">
        <f>IF(基本情報入力シート!V75="", "",基本情報入力シート!V75)</f>
        <v>奈良市</v>
      </c>
      <c r="J152" s="1089" t="str">
        <f>IF(基本情報入力シート!W75="", "",基本情報入力シート!W75)</f>
        <v>○○施設</v>
      </c>
      <c r="K152" s="1089" t="str">
        <f>IF(基本情報入力シート!X75="", "",基本情報入力シート!X75)</f>
        <v>介護予防短期入所療養介護（介護老人保健施設）</v>
      </c>
      <c r="L152" s="1092">
        <f>IF(基本情報入力シート!AC75=0, "",基本情報入力シート!AC75)</f>
        <v>750000</v>
      </c>
      <c r="M152" s="1095">
        <f>IF(基本情報入力シート!AD75="", "",基本情報入力シート!AD75)</f>
        <v>10.27</v>
      </c>
      <c r="N152" s="1076" t="s">
        <v>393</v>
      </c>
      <c r="O152" s="1061">
        <f>IFERROR(VLOOKUP(K152,【参考】数式用２!$A$2:$AD$48,MATCH(N152,【参考】数式用２!$C$4:$AD$4,0)+2,0),"")</f>
        <v>4.4000000000000004E-2</v>
      </c>
      <c r="P152" s="1144" t="s">
        <v>384</v>
      </c>
      <c r="Q152" s="1147">
        <f>IFERROR(VLOOKUP(K152,【参考】数式用２!$A$2:$AC$48,MATCH(P152,【参考】数式用２!$C$4:$AC$4,0)+2,0),"")</f>
        <v>7.5000000000000011E-2</v>
      </c>
      <c r="R152" s="1150" t="s">
        <v>301</v>
      </c>
      <c r="S152" s="1153">
        <v>7</v>
      </c>
      <c r="T152" s="1070" t="s">
        <v>385</v>
      </c>
      <c r="U152" s="1153">
        <v>4</v>
      </c>
      <c r="V152" s="1070" t="s">
        <v>386</v>
      </c>
      <c r="W152" s="1153">
        <v>8</v>
      </c>
      <c r="X152" s="1070" t="s">
        <v>385</v>
      </c>
      <c r="Y152" s="1153">
        <v>3</v>
      </c>
      <c r="Z152" s="1070" t="s">
        <v>387</v>
      </c>
      <c r="AA152" s="1070" t="s">
        <v>209</v>
      </c>
      <c r="AB152" s="1070">
        <f>IF(S152&gt;=1,(W152*12+Y152)-(S152*12+U152)+1,"")</f>
        <v>12</v>
      </c>
      <c r="AC152" s="1073" t="s">
        <v>388</v>
      </c>
      <c r="AD152" s="1064">
        <f>IFERROR(ROUNDDOWN(ROUND(L152*Q152,0)*M152,0)*AB152,"")</f>
        <v>6932244</v>
      </c>
      <c r="AE152" s="1067">
        <f>IFERROR(ROUNDDOWN(ROUNDDOWN(ROUND(L152*VLOOKUP(K152,【参考】数式用２!$A$2:$AC$48,MATCH("処遇改善加算Ⅳ",【参考】数式用２!$C$4:$O$4,0)+2,0),0)*M152,0)*AB152*0.5,0), "")</f>
        <v>2033460</v>
      </c>
      <c r="AF152" s="1130" t="s">
        <v>2653</v>
      </c>
      <c r="AG152" s="1064" t="str">
        <f>IF(AND(AQ152&lt;&gt;"対象外", P152&lt;&gt;""),ROUNDDOWN(ROUND(L152*VLOOKUP(K152,【参考】数式用２!$A$2:$K$48,MATCH("ベア加算あり",【参考】数式用２!$C$4:$K$4,0)+2,0),0)*M152,0)*AB152,"")</f>
        <v/>
      </c>
      <c r="AH152" s="1133"/>
      <c r="AI152" s="1130" t="s">
        <v>2653</v>
      </c>
      <c r="AJ152" s="1130" t="s">
        <v>389</v>
      </c>
      <c r="AK152" s="1136"/>
      <c r="AL152" s="1139" t="s">
        <v>397</v>
      </c>
      <c r="AM152" s="681" t="str">
        <f>IF(Q152="","",IF(Q152&lt;O152,"！加算の要件上は問題ありませんが、令和６年度末の加算率と比較して、令和７年度の加算率が低くなっています。",""))</f>
        <v/>
      </c>
      <c r="AN152" s="371"/>
      <c r="AO152" s="1125" t="str">
        <f>IF(K152&lt;&gt;"","Q列に色付け","")</f>
        <v>Q列に色付け</v>
      </c>
      <c r="AP152" s="1142" t="str">
        <f>IF(AND(AE152&lt;&gt;0,AE152&lt;&gt;""),IF(AF152="○","入力済","未入力"),"")</f>
        <v>入力済</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対象外</v>
      </c>
      <c r="AV152" s="843" t="str">
        <f>IF(AND(P152&lt;&gt;"処遇改善加算Ⅲ",P152&lt;&gt;"処遇改善加算Ⅳ", P152&lt;&gt;"", AU152&lt;&gt;"対象外"), 1,"")</f>
        <v/>
      </c>
      <c r="AW152" s="843" t="str">
        <f>IFERROR("_"&amp;VLOOKUP(K152, 【参考】数式用２!$AG$2:$AH$48, 2, FALSE), "")</f>
        <v>_25</v>
      </c>
      <c r="AX152" s="1143" t="str">
        <f>IF(AND(P152="処遇改善加算Ⅰ", AL152=""), "未入力","入力済")</f>
        <v>入力済</v>
      </c>
      <c r="AY152" s="1125" t="str">
        <f>G152</f>
        <v>奈良県</v>
      </c>
      <c r="AZ152"/>
      <c r="BA152"/>
      <c r="BB152"/>
      <c r="BC152"/>
      <c r="BD152"/>
      <c r="BE152"/>
      <c r="BF152"/>
      <c r="BG152"/>
    </row>
    <row r="153" spans="1:59" ht="14.4">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1"/>
      <c r="AO153" s="1126"/>
      <c r="AP153" s="1142"/>
      <c r="AQ153" s="981"/>
      <c r="AR153" s="843"/>
      <c r="AS153" s="843"/>
      <c r="AT153" s="843"/>
      <c r="AU153" s="843"/>
      <c r="AV153" s="843"/>
      <c r="AW153" s="843"/>
      <c r="AX153" s="1143"/>
      <c r="AY153" s="1126"/>
      <c r="AZ153"/>
      <c r="BA153"/>
      <c r="BB153"/>
      <c r="BC153"/>
      <c r="BD153"/>
      <c r="BE153"/>
      <c r="BF153"/>
      <c r="BG153"/>
    </row>
    <row r="154" spans="1:59" ht="14.4">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71"/>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682"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1"/>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1111111143</v>
      </c>
      <c r="C156" s="1082"/>
      <c r="D156" s="1082"/>
      <c r="E156" s="1082"/>
      <c r="F156" s="1083"/>
      <c r="G156" s="1089" t="str">
        <f>IF(基本情報入力シート!L76="", "",基本情報入力シート!L76)</f>
        <v>奈良県</v>
      </c>
      <c r="H156" s="1089" t="str">
        <f>IF(基本情報入力シート!Q76="", "",基本情報入力シート!Q76)</f>
        <v>奈良県</v>
      </c>
      <c r="I156" s="1089" t="str">
        <f>IF(基本情報入力シート!V76="", "",基本情報入力シート!V76)</f>
        <v>奈良市</v>
      </c>
      <c r="J156" s="1089" t="str">
        <f>IF(基本情報入力シート!W76="", "",基本情報入力シート!W76)</f>
        <v>○○施設</v>
      </c>
      <c r="K156" s="1089" t="str">
        <f>IF(基本情報入力シート!X76="", "",基本情報入力シート!X76)</f>
        <v>短期入所療養介護 （病院等（老健以外）)</v>
      </c>
      <c r="L156" s="1092">
        <f>IF(基本情報入力シート!AC76=0, "",基本情報入力シート!AC76)</f>
        <v>750000</v>
      </c>
      <c r="M156" s="1095">
        <f>IF(基本情報入力シート!AD76="", "",基本情報入力シート!AD76)</f>
        <v>10.27</v>
      </c>
      <c r="N156" s="1076" t="s">
        <v>393</v>
      </c>
      <c r="O156" s="1061">
        <f>IFERROR(VLOOKUP(K156,【参考】数式用２!$A$2:$AD$48,MATCH(N156,【参考】数式用２!$C$4:$AD$4,0)+2,0),"")</f>
        <v>2.9000000000000001E-2</v>
      </c>
      <c r="P156" s="1144" t="s">
        <v>384</v>
      </c>
      <c r="Q156" s="1147">
        <f>IFERROR(VLOOKUP(K156,【参考】数式用２!$A$2:$AC$48,MATCH(P156,【参考】数式用２!$C$4:$AC$4,0)+2,0),"")</f>
        <v>5.099999999999999E-2</v>
      </c>
      <c r="R156" s="1150" t="s">
        <v>301</v>
      </c>
      <c r="S156" s="1153">
        <v>7</v>
      </c>
      <c r="T156" s="1070" t="s">
        <v>385</v>
      </c>
      <c r="U156" s="1153">
        <v>4</v>
      </c>
      <c r="V156" s="1070" t="s">
        <v>386</v>
      </c>
      <c r="W156" s="1153">
        <v>8</v>
      </c>
      <c r="X156" s="1070" t="s">
        <v>385</v>
      </c>
      <c r="Y156" s="1153">
        <v>3</v>
      </c>
      <c r="Z156" s="1070" t="s">
        <v>387</v>
      </c>
      <c r="AA156" s="1070" t="s">
        <v>209</v>
      </c>
      <c r="AB156" s="1070">
        <f>IF(S156&gt;=1,(W156*12+Y156)-(S156*12+U156)+1,"")</f>
        <v>12</v>
      </c>
      <c r="AC156" s="1073" t="s">
        <v>388</v>
      </c>
      <c r="AD156" s="1064">
        <f>IFERROR(ROUNDDOWN(ROUND(L156*Q156,0)*M156,0)*AB156,"")</f>
        <v>4713924</v>
      </c>
      <c r="AE156" s="1067">
        <f>IFERROR(ROUNDDOWN(ROUNDDOWN(ROUND(L156*VLOOKUP(K156,【参考】数式用２!$A$2:$AC$48,MATCH("処遇改善加算Ⅳ",【参考】数式用２!$C$4:$O$4,0)+2,0),0)*M156,0)*AB156*0.5,0), "")</f>
        <v>1340232</v>
      </c>
      <c r="AF156" s="1130" t="s">
        <v>2653</v>
      </c>
      <c r="AG156" s="1064" t="str">
        <f>IF(AND(AQ156&lt;&gt;"対象外", P156&lt;&gt;""),ROUNDDOWN(ROUND(L156*VLOOKUP(K156,【参考】数式用２!$A$2:$K$48,MATCH("ベア加算あり",【参考】数式用２!$C$4:$K$4,0)+2,0),0)*M156,0)*AB156,"")</f>
        <v/>
      </c>
      <c r="AH156" s="1133"/>
      <c r="AI156" s="1130" t="s">
        <v>389</v>
      </c>
      <c r="AJ156" s="1130" t="s">
        <v>2653</v>
      </c>
      <c r="AK156" s="1136"/>
      <c r="AL156" s="1139" t="s">
        <v>397</v>
      </c>
      <c r="AM156" s="681" t="str">
        <f>IF(Q156="","",IF(Q156&lt;O156,"！加算の要件上は問題ありませんが、令和６年度末の加算率と比較して、令和７年度の加算率が低くなっています。",""))</f>
        <v/>
      </c>
      <c r="AN156" s="371"/>
      <c r="AO156" s="1125" t="str">
        <f>IF(K156&lt;&gt;"","Q列に色付け","")</f>
        <v>Q列に色付け</v>
      </c>
      <c r="AP156" s="1142" t="str">
        <f>IF(AND(AE156&lt;&gt;0,AE156&lt;&gt;""),IF(AF156="○","入力済","未入力"),"")</f>
        <v>入力済</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対象外</v>
      </c>
      <c r="AV156" s="843" t="str">
        <f>IF(AND(P156&lt;&gt;"処遇改善加算Ⅲ",P156&lt;&gt;"処遇改善加算Ⅳ", P156&lt;&gt;"", AU156&lt;&gt;"対象外"), 1,"")</f>
        <v/>
      </c>
      <c r="AW156" s="843" t="str">
        <f>IFERROR("_"&amp;VLOOKUP(K156, 【参考】数式用２!$AG$2:$AH$48, 2, FALSE), "")</f>
        <v>_23</v>
      </c>
      <c r="AX156" s="1143" t="str">
        <f>IF(AND(P156="処遇改善加算Ⅰ", AL156=""), "未入力","入力済")</f>
        <v>入力済</v>
      </c>
      <c r="AY156" s="1125" t="str">
        <f>G156</f>
        <v>奈良県</v>
      </c>
      <c r="AZ156"/>
      <c r="BA156"/>
      <c r="BB156"/>
      <c r="BC156"/>
      <c r="BD156"/>
      <c r="BE156"/>
      <c r="BF156"/>
      <c r="BG156"/>
    </row>
    <row r="157" spans="1:59" ht="14.4">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1"/>
      <c r="AO157" s="1126"/>
      <c r="AP157" s="1142"/>
      <c r="AQ157" s="981"/>
      <c r="AR157" s="843"/>
      <c r="AS157" s="843"/>
      <c r="AT157" s="843"/>
      <c r="AU157" s="843"/>
      <c r="AV157" s="843"/>
      <c r="AW157" s="843"/>
      <c r="AX157" s="1143"/>
      <c r="AY157" s="1126"/>
      <c r="AZ157"/>
      <c r="BA157"/>
      <c r="BB157"/>
      <c r="BC157"/>
      <c r="BD157"/>
      <c r="BE157"/>
      <c r="BF157"/>
      <c r="BG157"/>
    </row>
    <row r="158" spans="1:59" ht="14.4">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71"/>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682"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1"/>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1111111144</v>
      </c>
      <c r="C160" s="1082"/>
      <c r="D160" s="1082"/>
      <c r="E160" s="1082"/>
      <c r="F160" s="1083"/>
      <c r="G160" s="1089" t="str">
        <f>IF(基本情報入力シート!L77="", "",基本情報入力シート!L77)</f>
        <v>奈良県</v>
      </c>
      <c r="H160" s="1089" t="str">
        <f>IF(基本情報入力シート!Q77="", "",基本情報入力シート!Q77)</f>
        <v>奈良県</v>
      </c>
      <c r="I160" s="1089" t="str">
        <f>IF(基本情報入力シート!V77="", "",基本情報入力シート!V77)</f>
        <v>奈良市</v>
      </c>
      <c r="J160" s="1089" t="str">
        <f>IF(基本情報入力シート!W77="", "",基本情報入力シート!W77)</f>
        <v>○○施設</v>
      </c>
      <c r="K160" s="1089" t="str">
        <f>IF(基本情報入力シート!X77="", "",基本情報入力シート!X77)</f>
        <v>介護予防短期入所療養介護 （病院等（老健以外）)</v>
      </c>
      <c r="L160" s="1092">
        <f>IF(基本情報入力シート!AC77=0, "",基本情報入力シート!AC77)</f>
        <v>750000</v>
      </c>
      <c r="M160" s="1095">
        <f>IF(基本情報入力シート!AD77="", "",基本情報入力シート!AD77)</f>
        <v>10.27</v>
      </c>
      <c r="N160" s="1076" t="s">
        <v>393</v>
      </c>
      <c r="O160" s="1061">
        <f>IFERROR(VLOOKUP(K160,【参考】数式用２!$A$2:$AD$48,MATCH(N160,【参考】数式用２!$C$4:$AD$4,0)+2,0),"")</f>
        <v>2.9000000000000001E-2</v>
      </c>
      <c r="P160" s="1144" t="s">
        <v>384</v>
      </c>
      <c r="Q160" s="1147">
        <f>IFERROR(VLOOKUP(K160,【参考】数式用２!$A$2:$AC$48,MATCH(P160,【参考】数式用２!$C$4:$AC$4,0)+2,0),"")</f>
        <v>5.099999999999999E-2</v>
      </c>
      <c r="R160" s="1150" t="s">
        <v>301</v>
      </c>
      <c r="S160" s="1153">
        <v>7</v>
      </c>
      <c r="T160" s="1070" t="s">
        <v>385</v>
      </c>
      <c r="U160" s="1153">
        <v>4</v>
      </c>
      <c r="V160" s="1070" t="s">
        <v>386</v>
      </c>
      <c r="W160" s="1153">
        <v>8</v>
      </c>
      <c r="X160" s="1070" t="s">
        <v>385</v>
      </c>
      <c r="Y160" s="1153">
        <v>3</v>
      </c>
      <c r="Z160" s="1070" t="s">
        <v>387</v>
      </c>
      <c r="AA160" s="1070" t="s">
        <v>209</v>
      </c>
      <c r="AB160" s="1070">
        <f>IF(S160&gt;=1,(W160*12+Y160)-(S160*12+U160)+1,"")</f>
        <v>12</v>
      </c>
      <c r="AC160" s="1073" t="s">
        <v>388</v>
      </c>
      <c r="AD160" s="1064">
        <f>IFERROR(ROUNDDOWN(ROUND(L160*Q160,0)*M160,0)*AB160,"")</f>
        <v>4713924</v>
      </c>
      <c r="AE160" s="1067">
        <f>IFERROR(ROUNDDOWN(ROUNDDOWN(ROUND(L160*VLOOKUP(K160,【参考】数式用２!$A$2:$AC$48,MATCH("処遇改善加算Ⅳ",【参考】数式用２!$C$4:$O$4,0)+2,0),0)*M160,0)*AB160*0.5,0), "")</f>
        <v>1340232</v>
      </c>
      <c r="AF160" s="1130" t="s">
        <v>2653</v>
      </c>
      <c r="AG160" s="1064" t="str">
        <f>IF(AND(AQ160&lt;&gt;"対象外", P160&lt;&gt;""),ROUNDDOWN(ROUND(L160*VLOOKUP(K160,【参考】数式用２!$A$2:$K$48,MATCH("ベア加算あり",【参考】数式用２!$C$4:$K$4,0)+2,0),0)*M160,0)*AB160,"")</f>
        <v/>
      </c>
      <c r="AH160" s="1133"/>
      <c r="AI160" s="1130" t="s">
        <v>389</v>
      </c>
      <c r="AJ160" s="1130" t="s">
        <v>389</v>
      </c>
      <c r="AK160" s="1136"/>
      <c r="AL160" s="1139" t="s">
        <v>397</v>
      </c>
      <c r="AM160" s="681" t="str">
        <f>IF(Q160="","",IF(Q160&lt;O160,"！加算の要件上は問題ありませんが、令和６年度末の加算率と比較して、令和７年度の加算率が低くなっています。",""))</f>
        <v/>
      </c>
      <c r="AN160" s="371"/>
      <c r="AO160" s="1126" t="str">
        <f>IF(K160&lt;&gt;"","Q列に色付け","")</f>
        <v>Q列に色付け</v>
      </c>
      <c r="AP160" s="1142" t="str">
        <f>IF(AND(AE160&lt;&gt;0,AE160&lt;&gt;""),IF(AF160="○","入力済","未入力"),"")</f>
        <v>入力済</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対象外</v>
      </c>
      <c r="AV160" s="843" t="str">
        <f>IF(AND(P160&lt;&gt;"処遇改善加算Ⅲ",P160&lt;&gt;"処遇改善加算Ⅳ", P160&lt;&gt;"", AU160&lt;&gt;"対象外"), 1,"")</f>
        <v/>
      </c>
      <c r="AW160" s="843" t="str">
        <f>IFERROR("_"&amp;VLOOKUP(K160, 【参考】数式用２!$AG$2:$AH$48, 2, FALSE), "")</f>
        <v>_26</v>
      </c>
      <c r="AX160" s="1143" t="str">
        <f>IF(AND(P160="処遇改善加算Ⅰ", AL160=""), "未入力","入力済")</f>
        <v>入力済</v>
      </c>
      <c r="AY160" s="1125" t="str">
        <f>G160</f>
        <v>奈良県</v>
      </c>
      <c r="AZ160"/>
      <c r="BA160"/>
      <c r="BB160"/>
      <c r="BC160"/>
      <c r="BD160"/>
      <c r="BE160"/>
      <c r="BF160"/>
      <c r="BG160"/>
    </row>
    <row r="161" spans="1:59" ht="14.4">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1"/>
      <c r="AO161" s="1126"/>
      <c r="AP161" s="1142"/>
      <c r="AQ161" s="981"/>
      <c r="AR161" s="843"/>
      <c r="AS161" s="843"/>
      <c r="AT161" s="843"/>
      <c r="AU161" s="843"/>
      <c r="AV161" s="843"/>
      <c r="AW161" s="843"/>
      <c r="AX161" s="1143"/>
      <c r="AY161" s="1126"/>
      <c r="AZ161"/>
      <c r="BA161"/>
      <c r="BB161"/>
      <c r="BC161"/>
      <c r="BD161"/>
      <c r="BE161"/>
      <c r="BF161"/>
      <c r="BG161"/>
    </row>
    <row r="162" spans="1:59" ht="14.4">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71"/>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682"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1"/>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1111111145</v>
      </c>
      <c r="C164" s="1082"/>
      <c r="D164" s="1082"/>
      <c r="E164" s="1082"/>
      <c r="F164" s="1083"/>
      <c r="G164" s="1089" t="str">
        <f>IF(基本情報入力シート!L78="", "",基本情報入力シート!L78)</f>
        <v>奈良県</v>
      </c>
      <c r="H164" s="1089" t="str">
        <f>IF(基本情報入力シート!Q78="", "",基本情報入力シート!Q78)</f>
        <v>奈良県</v>
      </c>
      <c r="I164" s="1089" t="str">
        <f>IF(基本情報入力シート!V78="", "",基本情報入力シート!V78)</f>
        <v>奈良市</v>
      </c>
      <c r="J164" s="1089" t="str">
        <f>IF(基本情報入力シート!W78="", "",基本情報入力シート!W78)</f>
        <v>○○施設</v>
      </c>
      <c r="K164" s="1089" t="str">
        <f>IF(基本情報入力シート!X78="", "",基本情報入力シート!X78)</f>
        <v>介護医療院サービス</v>
      </c>
      <c r="L164" s="1092">
        <f>IF(基本情報入力シート!AC78=0, "",基本情報入力シート!AC78)</f>
        <v>750000</v>
      </c>
      <c r="M164" s="1095">
        <f>IF(基本情報入力シート!AD78="", "",基本情報入力シート!AD78)</f>
        <v>10.27</v>
      </c>
      <c r="N164" s="1076" t="s">
        <v>393</v>
      </c>
      <c r="O164" s="1061">
        <f>IFERROR(VLOOKUP(K164,【参考】数式用２!$A$2:$AD$48,MATCH(N164,【参考】数式用２!$C$4:$AD$4,0)+2,0),"")</f>
        <v>2.9000000000000001E-2</v>
      </c>
      <c r="P164" s="1144" t="s">
        <v>384</v>
      </c>
      <c r="Q164" s="1147">
        <f>IFERROR(VLOOKUP(K164,【参考】数式用２!$A$2:$AC$48,MATCH(P164,【参考】数式用２!$C$4:$AC$4,0)+2,0),"")</f>
        <v>5.099999999999999E-2</v>
      </c>
      <c r="R164" s="1150" t="s">
        <v>301</v>
      </c>
      <c r="S164" s="1153">
        <v>7</v>
      </c>
      <c r="T164" s="1070" t="s">
        <v>385</v>
      </c>
      <c r="U164" s="1153">
        <v>4</v>
      </c>
      <c r="V164" s="1070" t="s">
        <v>386</v>
      </c>
      <c r="W164" s="1153">
        <v>8</v>
      </c>
      <c r="X164" s="1070" t="s">
        <v>385</v>
      </c>
      <c r="Y164" s="1153">
        <v>3</v>
      </c>
      <c r="Z164" s="1070" t="s">
        <v>387</v>
      </c>
      <c r="AA164" s="1070" t="s">
        <v>209</v>
      </c>
      <c r="AB164" s="1070">
        <f>IF(S164&gt;=1,(W164*12+Y164)-(S164*12+U164)+1,"")</f>
        <v>12</v>
      </c>
      <c r="AC164" s="1073" t="s">
        <v>388</v>
      </c>
      <c r="AD164" s="1064">
        <f>IFERROR(ROUNDDOWN(ROUND(L164*Q164,0)*M164,0)*AB164,"")</f>
        <v>4713924</v>
      </c>
      <c r="AE164" s="1067">
        <f>IFERROR(ROUNDDOWN(ROUNDDOWN(ROUND(L164*VLOOKUP(K164,【参考】数式用２!$A$2:$AC$48,MATCH("処遇改善加算Ⅳ",【参考】数式用２!$C$4:$O$4,0)+2,0),0)*M164,0)*AB164*0.5,0), "")</f>
        <v>1340232</v>
      </c>
      <c r="AF164" s="1130" t="s">
        <v>2653</v>
      </c>
      <c r="AG164" s="1064" t="str">
        <f>IF(AND(AQ164&lt;&gt;"対象外", P164&lt;&gt;""),ROUNDDOWN(ROUND(L164*VLOOKUP(K164,【参考】数式用２!$A$2:$K$48,MATCH("ベア加算あり",【参考】数式用２!$C$4:$K$4,0)+2,0),0)*M164,0)*AB164,"")</f>
        <v/>
      </c>
      <c r="AH164" s="1133"/>
      <c r="AI164" s="1130" t="s">
        <v>2653</v>
      </c>
      <c r="AJ164" s="1130" t="s">
        <v>389</v>
      </c>
      <c r="AK164" s="1136">
        <v>1</v>
      </c>
      <c r="AL164" s="1139" t="s">
        <v>397</v>
      </c>
      <c r="AM164" s="681" t="str">
        <f>IF(Q164="","",IF(Q164&lt;O164,"！加算の要件上は問題ありませんが、令和６年度末の加算率と比較して、令和７年度の加算率が低くなっています。",""))</f>
        <v/>
      </c>
      <c r="AN164" s="371"/>
      <c r="AO164" s="1126" t="str">
        <f>IF(K164&lt;&gt;"","Q列に色付け","")</f>
        <v>Q列に色付け</v>
      </c>
      <c r="AP164" s="1142" t="str">
        <f>IF(AND(AE164&lt;&gt;0,AE164&lt;&gt;""),IF(AF164="○","入力済","未入力"),"")</f>
        <v>入力済</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対象</v>
      </c>
      <c r="AV164" s="843">
        <f>IF(AND(P164&lt;&gt;"処遇改善加算Ⅲ",P164&lt;&gt;"処遇改善加算Ⅳ", P164&lt;&gt;"", AU164&lt;&gt;"対象外"), 1,"")</f>
        <v>1</v>
      </c>
      <c r="AW164" s="843" t="str">
        <f>IFERROR("_"&amp;VLOOKUP(K164, 【参考】数式用２!$AG$2:$AH$48, 2, FALSE), "")</f>
        <v>_55</v>
      </c>
      <c r="AX164" s="1143" t="str">
        <f>IF(AND(P164="処遇改善加算Ⅰ", AL164=""), "未入力","入力済")</f>
        <v>入力済</v>
      </c>
      <c r="AY164" s="1125" t="str">
        <f>G164</f>
        <v>奈良県</v>
      </c>
      <c r="AZ164"/>
      <c r="BA164"/>
      <c r="BB164"/>
      <c r="BC164"/>
      <c r="BD164"/>
      <c r="BE164"/>
      <c r="BF164"/>
      <c r="BG164"/>
    </row>
    <row r="165" spans="1:59" ht="14.4">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1"/>
      <c r="AO165" s="1126"/>
      <c r="AP165" s="1142"/>
      <c r="AQ165" s="981"/>
      <c r="AR165" s="843"/>
      <c r="AS165" s="843"/>
      <c r="AT165" s="843"/>
      <c r="AU165" s="843"/>
      <c r="AV165" s="843"/>
      <c r="AW165" s="843"/>
      <c r="AX165" s="1143"/>
      <c r="AY165" s="1126"/>
      <c r="AZ165"/>
      <c r="BA165"/>
      <c r="BB165"/>
      <c r="BC165"/>
      <c r="BD165"/>
      <c r="BE165"/>
      <c r="BF165"/>
      <c r="BG165"/>
    </row>
    <row r="166" spans="1:59" ht="14.4">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71"/>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682"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1"/>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1111111146</v>
      </c>
      <c r="C168" s="1082"/>
      <c r="D168" s="1082"/>
      <c r="E168" s="1082"/>
      <c r="F168" s="1083"/>
      <c r="G168" s="1089" t="str">
        <f>IF(基本情報入力シート!L79="", "",基本情報入力シート!L79)</f>
        <v>奈良県</v>
      </c>
      <c r="H168" s="1089" t="str">
        <f>IF(基本情報入力シート!Q79="", "",基本情報入力シート!Q79)</f>
        <v>奈良県</v>
      </c>
      <c r="I168" s="1089" t="str">
        <f>IF(基本情報入力シート!V79="", "",基本情報入力シート!V79)</f>
        <v>奈良市</v>
      </c>
      <c r="J168" s="1089" t="str">
        <f>IF(基本情報入力シート!W79="", "",基本情報入力シート!W79)</f>
        <v>○○施設</v>
      </c>
      <c r="K168" s="1089" t="str">
        <f>IF(基本情報入力シート!X79="", "",基本情報入力シート!X79)</f>
        <v>短期入所療養介護（介護医療院）</v>
      </c>
      <c r="L168" s="1092">
        <f>IF(基本情報入力シート!AC79=0, "",基本情報入力シート!AC79)</f>
        <v>750000</v>
      </c>
      <c r="M168" s="1095">
        <f>IF(基本情報入力シート!AD79="", "",基本情報入力シート!AD79)</f>
        <v>10.27</v>
      </c>
      <c r="N168" s="1076" t="s">
        <v>393</v>
      </c>
      <c r="O168" s="1061">
        <f>IFERROR(VLOOKUP(K168,【参考】数式用２!$A$2:$AD$48,MATCH(N168,【参考】数式用２!$C$4:$AD$4,0)+2,0),"")</f>
        <v>2.9000000000000001E-2</v>
      </c>
      <c r="P168" s="1144" t="s">
        <v>384</v>
      </c>
      <c r="Q168" s="1147">
        <f>IFERROR(VLOOKUP(K168,【参考】数式用２!$A$2:$AC$48,MATCH(P168,【参考】数式用２!$C$4:$AC$4,0)+2,0),"")</f>
        <v>5.099999999999999E-2</v>
      </c>
      <c r="R168" s="1150" t="s">
        <v>301</v>
      </c>
      <c r="S168" s="1153">
        <v>7</v>
      </c>
      <c r="T168" s="1070" t="s">
        <v>385</v>
      </c>
      <c r="U168" s="1153">
        <v>4</v>
      </c>
      <c r="V168" s="1070" t="s">
        <v>386</v>
      </c>
      <c r="W168" s="1153">
        <v>8</v>
      </c>
      <c r="X168" s="1070" t="s">
        <v>385</v>
      </c>
      <c r="Y168" s="1153">
        <v>3</v>
      </c>
      <c r="Z168" s="1070" t="s">
        <v>387</v>
      </c>
      <c r="AA168" s="1070" t="s">
        <v>209</v>
      </c>
      <c r="AB168" s="1070">
        <f>IF(S168&gt;=1,(W168*12+Y168)-(S168*12+U168)+1,"")</f>
        <v>12</v>
      </c>
      <c r="AC168" s="1073" t="s">
        <v>388</v>
      </c>
      <c r="AD168" s="1064">
        <f>IFERROR(ROUNDDOWN(ROUND(L168*Q168,0)*M168,0)*AB168,"")</f>
        <v>4713924</v>
      </c>
      <c r="AE168" s="1067">
        <f>IFERROR(ROUNDDOWN(ROUNDDOWN(ROUND(L168*VLOOKUP(K168,【参考】数式用２!$A$2:$AC$48,MATCH("処遇改善加算Ⅳ",【参考】数式用２!$C$4:$O$4,0)+2,0),0)*M168,0)*AB168*0.5,0), "")</f>
        <v>1340232</v>
      </c>
      <c r="AF168" s="1130" t="s">
        <v>2653</v>
      </c>
      <c r="AG168" s="1064" t="str">
        <f>IF(AND(AQ168&lt;&gt;"対象外", P168&lt;&gt;""),ROUNDDOWN(ROUND(L168*VLOOKUP(K168,【参考】数式用２!$A$2:$K$48,MATCH("ベア加算あり",【参考】数式用２!$C$4:$K$4,0)+2,0),0)*M168,0)*AB168,"")</f>
        <v/>
      </c>
      <c r="AH168" s="1133"/>
      <c r="AI168" s="1130" t="s">
        <v>2653</v>
      </c>
      <c r="AJ168" s="1130" t="s">
        <v>2653</v>
      </c>
      <c r="AK168" s="1136"/>
      <c r="AL168" s="1139" t="s">
        <v>397</v>
      </c>
      <c r="AM168" s="681" t="str">
        <f>IF(Q168="","",IF(Q168&lt;O168,"！加算の要件上は問題ありませんが、令和６年度末の加算率と比較して、令和７年度の加算率が低くなっています。",""))</f>
        <v/>
      </c>
      <c r="AN168" s="371"/>
      <c r="AO168" s="1125" t="str">
        <f>IF(K168&lt;&gt;"","Q列に色付け","")</f>
        <v>Q列に色付け</v>
      </c>
      <c r="AP168" s="1142" t="str">
        <f>IF(AND(AE168&lt;&gt;0,AE168&lt;&gt;""),IF(AF168="○","入力済","未入力"),"")</f>
        <v>入力済</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対象外</v>
      </c>
      <c r="AV168" s="843" t="str">
        <f>IF(AND(P168&lt;&gt;"処遇改善加算Ⅲ",P168&lt;&gt;"処遇改善加算Ⅳ", P168&lt;&gt;"", AU168&lt;&gt;"対象外"), 1,"")</f>
        <v/>
      </c>
      <c r="AW168" s="843" t="str">
        <f>IFERROR("_"&amp;VLOOKUP(K168, 【参考】数式用２!$AG$2:$AH$48, 2, FALSE), "")</f>
        <v>_2A</v>
      </c>
      <c r="AX168" s="1143" t="str">
        <f>IF(AND(P168="処遇改善加算Ⅰ", AL168=""), "未入力","入力済")</f>
        <v>入力済</v>
      </c>
      <c r="AY168" s="1125" t="str">
        <f>G168</f>
        <v>奈良県</v>
      </c>
      <c r="AZ168"/>
      <c r="BA168"/>
      <c r="BB168"/>
      <c r="BC168"/>
      <c r="BD168"/>
      <c r="BE168"/>
      <c r="BF168"/>
      <c r="BG168"/>
    </row>
    <row r="169" spans="1:59" ht="14.4">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1"/>
      <c r="AO169" s="1126"/>
      <c r="AP169" s="1142"/>
      <c r="AQ169" s="981"/>
      <c r="AR169" s="843"/>
      <c r="AS169" s="843"/>
      <c r="AT169" s="843"/>
      <c r="AU169" s="843"/>
      <c r="AV169" s="843"/>
      <c r="AW169" s="843"/>
      <c r="AX169" s="1143"/>
      <c r="AY169" s="1126"/>
      <c r="AZ169"/>
      <c r="BA169"/>
      <c r="BB169"/>
      <c r="BC169"/>
      <c r="BD169"/>
      <c r="BE169"/>
      <c r="BF169"/>
      <c r="BG169"/>
    </row>
    <row r="170" spans="1:59" ht="14.4">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71"/>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682"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1"/>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1111111147</v>
      </c>
      <c r="C172" s="1082"/>
      <c r="D172" s="1082"/>
      <c r="E172" s="1082"/>
      <c r="F172" s="1083"/>
      <c r="G172" s="1089" t="str">
        <f>IF(基本情報入力シート!L80="", "",基本情報入力シート!L80)</f>
        <v>奈良県</v>
      </c>
      <c r="H172" s="1089" t="str">
        <f>IF(基本情報入力シート!Q80="", "",基本情報入力シート!Q80)</f>
        <v>奈良県</v>
      </c>
      <c r="I172" s="1089" t="str">
        <f>IF(基本情報入力シート!V80="", "",基本情報入力シート!V80)</f>
        <v>奈良市</v>
      </c>
      <c r="J172" s="1089" t="str">
        <f>IF(基本情報入力シート!W80="", "",基本情報入力シート!W80)</f>
        <v>○○施設</v>
      </c>
      <c r="K172" s="1089" t="str">
        <f>IF(基本情報入力シート!X80="", "",基本情報入力シート!X80)</f>
        <v>介護予防短期入所療養介護（介護医療院）</v>
      </c>
      <c r="L172" s="1092">
        <f>IF(基本情報入力シート!AC80=0, "",基本情報入力シート!AC80)</f>
        <v>750000</v>
      </c>
      <c r="M172" s="1095">
        <f>IF(基本情報入力シート!AD80="", "",基本情報入力シート!AD80)</f>
        <v>10.27</v>
      </c>
      <c r="N172" s="1076" t="s">
        <v>393</v>
      </c>
      <c r="O172" s="1061">
        <f>IFERROR(VLOOKUP(K172,【参考】数式用２!$A$2:$AD$48,MATCH(N172,【参考】数式用２!$C$4:$AD$4,0)+2,0),"")</f>
        <v>2.9000000000000001E-2</v>
      </c>
      <c r="P172" s="1144" t="s">
        <v>384</v>
      </c>
      <c r="Q172" s="1147">
        <f>IFERROR(VLOOKUP(K172,【参考】数式用２!$A$2:$AC$48,MATCH(P172,【参考】数式用２!$C$4:$AC$4,0)+2,0),"")</f>
        <v>5.099999999999999E-2</v>
      </c>
      <c r="R172" s="1150" t="s">
        <v>301</v>
      </c>
      <c r="S172" s="1153">
        <v>7</v>
      </c>
      <c r="T172" s="1070" t="s">
        <v>385</v>
      </c>
      <c r="U172" s="1153">
        <v>4</v>
      </c>
      <c r="V172" s="1070" t="s">
        <v>386</v>
      </c>
      <c r="W172" s="1153">
        <v>8</v>
      </c>
      <c r="X172" s="1070" t="s">
        <v>385</v>
      </c>
      <c r="Y172" s="1153">
        <v>3</v>
      </c>
      <c r="Z172" s="1070" t="s">
        <v>387</v>
      </c>
      <c r="AA172" s="1070" t="s">
        <v>209</v>
      </c>
      <c r="AB172" s="1070">
        <f>IF(S172&gt;=1,(W172*12+Y172)-(S172*12+U172)+1,"")</f>
        <v>12</v>
      </c>
      <c r="AC172" s="1073" t="s">
        <v>388</v>
      </c>
      <c r="AD172" s="1064">
        <f>IFERROR(ROUNDDOWN(ROUND(L172*Q172,0)*M172,0)*AB172,"")</f>
        <v>4713924</v>
      </c>
      <c r="AE172" s="1067">
        <f>IFERROR(ROUNDDOWN(ROUNDDOWN(ROUND(L172*VLOOKUP(K172,【参考】数式用２!$A$2:$AC$48,MATCH("処遇改善加算Ⅳ",【参考】数式用２!$C$4:$O$4,0)+2,0),0)*M172,0)*AB172*0.5,0), "")</f>
        <v>1340232</v>
      </c>
      <c r="AF172" s="1130" t="s">
        <v>2653</v>
      </c>
      <c r="AG172" s="1064" t="str">
        <f>IF(AND(AQ172&lt;&gt;"対象外", P172&lt;&gt;""),ROUNDDOWN(ROUND(L172*VLOOKUP(K172,【参考】数式用２!$A$2:$K$48,MATCH("ベア加算あり",【参考】数式用２!$C$4:$K$4,0)+2,0),0)*M172,0)*AB172,"")</f>
        <v/>
      </c>
      <c r="AH172" s="1133"/>
      <c r="AI172" s="1130" t="s">
        <v>389</v>
      </c>
      <c r="AJ172" s="1130" t="s">
        <v>389</v>
      </c>
      <c r="AK172" s="1136"/>
      <c r="AL172" s="1139" t="s">
        <v>397</v>
      </c>
      <c r="AM172" s="681" t="str">
        <f>IF(Q172="","",IF(Q172&lt;O172,"！加算の要件上は問題ありませんが、令和６年度末の加算率と比較して、令和７年度の加算率が低くなっています。",""))</f>
        <v/>
      </c>
      <c r="AN172" s="371"/>
      <c r="AO172" s="1126" t="str">
        <f>IF(K172&lt;&gt;"","Q列に色付け","")</f>
        <v>Q列に色付け</v>
      </c>
      <c r="AP172" s="1142" t="str">
        <f>IF(AND(AE172&lt;&gt;0,AE172&lt;&gt;""),IF(AF172="○","入力済","未入力"),"")</f>
        <v>入力済</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対象外</v>
      </c>
      <c r="AV172" s="843" t="str">
        <f>IF(AND(P172&lt;&gt;"処遇改善加算Ⅲ",P172&lt;&gt;"処遇改善加算Ⅳ", P172&lt;&gt;"", AU172&lt;&gt;"対象外"), 1,"")</f>
        <v/>
      </c>
      <c r="AW172" s="843" t="str">
        <f>IFERROR("_"&amp;VLOOKUP(K172, 【参考】数式用２!$AG$2:$AH$48, 2, FALSE), "")</f>
        <v>_2B</v>
      </c>
      <c r="AX172" s="1143" t="str">
        <f>IF(AND(P172="処遇改善加算Ⅰ", AL172=""), "未入力","入力済")</f>
        <v>入力済</v>
      </c>
      <c r="AY172" s="1125" t="str">
        <f>G172</f>
        <v>奈良県</v>
      </c>
      <c r="AZ172"/>
      <c r="BA172"/>
      <c r="BB172"/>
      <c r="BC172"/>
      <c r="BD172"/>
      <c r="BE172"/>
      <c r="BF172"/>
      <c r="BG172"/>
    </row>
    <row r="173" spans="1:59" ht="14.4">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1"/>
      <c r="AO173" s="1126"/>
      <c r="AP173" s="1142"/>
      <c r="AQ173" s="981"/>
      <c r="AR173" s="843"/>
      <c r="AS173" s="843"/>
      <c r="AT173" s="843"/>
      <c r="AU173" s="843"/>
      <c r="AV173" s="843"/>
      <c r="AW173" s="843"/>
      <c r="AX173" s="1143"/>
      <c r="AY173" s="1126"/>
      <c r="AZ173"/>
      <c r="BA173"/>
      <c r="BB173"/>
      <c r="BC173"/>
      <c r="BD173"/>
      <c r="BE173"/>
      <c r="BF173"/>
      <c r="BG173"/>
    </row>
    <row r="174" spans="1:59" ht="14.4">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71"/>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682"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1"/>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1111111148</v>
      </c>
      <c r="C176" s="1082"/>
      <c r="D176" s="1082"/>
      <c r="E176" s="1082"/>
      <c r="F176" s="1083"/>
      <c r="G176" s="1089" t="str">
        <f>IF(基本情報入力シート!L81="", "",基本情報入力シート!L81)</f>
        <v>葛城市</v>
      </c>
      <c r="H176" s="1089" t="str">
        <f>IF(基本情報入力シート!Q81="", "",基本情報入力シート!Q81)</f>
        <v>奈良県</v>
      </c>
      <c r="I176" s="1089" t="str">
        <f>IF(基本情報入力シート!V81="", "",基本情報入力シート!V81)</f>
        <v>葛城市</v>
      </c>
      <c r="J176" s="1089" t="str">
        <f>IF(基本情報入力シート!W81="", "",基本情報入力シート!W81)</f>
        <v>○○ホームヘルプ</v>
      </c>
      <c r="K176" s="1089" t="str">
        <f>IF(基本情報入力シート!X81="", "",基本情報入力シート!X81)</f>
        <v>訪問型サービス（独自）</v>
      </c>
      <c r="L176" s="1092">
        <f>IF(基本情報入力シート!AC81=0, "",基本情報入力シート!AC81)</f>
        <v>750000</v>
      </c>
      <c r="M176" s="1095" t="str">
        <f>IF(基本情報入力シート!AD81="", "",基本情報入力シート!AD81)</f>
        <v>数式を削除して手入力</v>
      </c>
      <c r="N176" s="1076" t="s">
        <v>393</v>
      </c>
      <c r="O176" s="1061">
        <f>IFERROR(VLOOKUP(K176,【参考】数式用２!$A$2:$AD$48,MATCH(N176,【参考】数式用２!$C$4:$AD$4,0)+2,0),"")</f>
        <v>0.14499999999999999</v>
      </c>
      <c r="P176" s="1144" t="s">
        <v>384</v>
      </c>
      <c r="Q176" s="1147">
        <f>IFERROR(VLOOKUP(K176,【参考】数式用２!$A$2:$AC$48,MATCH(P176,【参考】数式用２!$C$4:$AC$4,0)+2,0),"")</f>
        <v>0.245</v>
      </c>
      <c r="R176" s="1150" t="s">
        <v>301</v>
      </c>
      <c r="S176" s="1153">
        <v>7</v>
      </c>
      <c r="T176" s="1070" t="s">
        <v>385</v>
      </c>
      <c r="U176" s="1153">
        <v>4</v>
      </c>
      <c r="V176" s="1070" t="s">
        <v>386</v>
      </c>
      <c r="W176" s="1153">
        <v>8</v>
      </c>
      <c r="X176" s="1070" t="s">
        <v>385</v>
      </c>
      <c r="Y176" s="1153">
        <v>3</v>
      </c>
      <c r="Z176" s="1070" t="s">
        <v>387</v>
      </c>
      <c r="AA176" s="1070" t="s">
        <v>209</v>
      </c>
      <c r="AB176" s="1070">
        <f>IF(S176&gt;=1,(W176*12+Y176)-(S176*12+U176)+1,"")</f>
        <v>12</v>
      </c>
      <c r="AC176" s="1073" t="s">
        <v>388</v>
      </c>
      <c r="AD176" s="1064" t="str">
        <f>IFERROR(ROUNDDOWN(ROUND(L176*Q176,0)*M176,0)*AB176,"")</f>
        <v/>
      </c>
      <c r="AE176" s="1067" t="str">
        <f>IFERROR(ROUNDDOWN(ROUNDDOWN(ROUND(L176*VLOOKUP(K176,【参考】数式用２!$A$2:$AC$48,MATCH("処遇改善加算Ⅳ",【参考】数式用２!$C$4:$O$4,0)+2,0),0)*M176,0)*AB176*0.5,0), "")</f>
        <v/>
      </c>
      <c r="AF176" s="1130" t="s">
        <v>2653</v>
      </c>
      <c r="AG176" s="1064" t="str">
        <f>IF(AND(AQ176&lt;&gt;"対象外", P176&lt;&gt;""),ROUNDDOWN(ROUND(L176*VLOOKUP(K176,【参考】数式用２!$A$2:$K$48,MATCH("ベア加算あり",【参考】数式用２!$C$4:$K$4,0)+2,0),0)*M176,0)*AB176,"")</f>
        <v/>
      </c>
      <c r="AH176" s="1133"/>
      <c r="AI176" s="1130" t="s">
        <v>389</v>
      </c>
      <c r="AJ176" s="1130" t="s">
        <v>389</v>
      </c>
      <c r="AK176" s="1136"/>
      <c r="AL176" s="1139" t="s">
        <v>411</v>
      </c>
      <c r="AM176" s="681" t="str">
        <f>IF(Q176="","",IF(Q176&lt;O176,"！加算の要件上は問題ありませんが、令和６年度末の加算率と比較して、令和７年度の加算率が低くなっています。",""))</f>
        <v/>
      </c>
      <c r="AN176" s="371"/>
      <c r="AO176" s="1125" t="str">
        <f>IF(K176&lt;&gt;"","Q列に色付け","")</f>
        <v>Q列に色付け</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対象外</v>
      </c>
      <c r="AV176" s="843" t="str">
        <f>IF(AND(P176&lt;&gt;"処遇改善加算Ⅲ",P176&lt;&gt;"処遇改善加算Ⅳ", P176&lt;&gt;"", AU176&lt;&gt;"対象外"), 1,"")</f>
        <v/>
      </c>
      <c r="AW176" s="843" t="str">
        <f>IFERROR("_"&amp;VLOOKUP(K176, 【参考】数式用２!$AG$2:$AH$48, 2, FALSE), "")</f>
        <v>_A2</v>
      </c>
      <c r="AX176" s="1143" t="str">
        <f>IF(AND(P176="処遇改善加算Ⅰ", AL176=""), "未入力","入力済")</f>
        <v>入力済</v>
      </c>
      <c r="AY176" s="1125" t="str">
        <f>G176</f>
        <v>葛城市</v>
      </c>
      <c r="AZ176"/>
      <c r="BA176"/>
      <c r="BB176"/>
      <c r="BC176"/>
      <c r="BD176"/>
      <c r="BE176"/>
      <c r="BF176"/>
      <c r="BG176"/>
    </row>
    <row r="177" spans="1:59" ht="14.4">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1"/>
      <c r="AO177" s="1126"/>
      <c r="AP177" s="1142"/>
      <c r="AQ177" s="981"/>
      <c r="AR177" s="843"/>
      <c r="AS177" s="843"/>
      <c r="AT177" s="843"/>
      <c r="AU177" s="843"/>
      <c r="AV177" s="843"/>
      <c r="AW177" s="843"/>
      <c r="AX177" s="1143"/>
      <c r="AY177" s="1126"/>
      <c r="AZ177"/>
      <c r="BA177"/>
      <c r="BB177"/>
      <c r="BC177"/>
      <c r="BD177"/>
      <c r="BE177"/>
      <c r="BF177"/>
      <c r="BG177"/>
    </row>
    <row r="178" spans="1:59" ht="14.4">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71"/>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682"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1"/>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1111111149</v>
      </c>
      <c r="C180" s="1082"/>
      <c r="D180" s="1082"/>
      <c r="E180" s="1082"/>
      <c r="F180" s="1083"/>
      <c r="G180" s="1089" t="str">
        <f>IF(基本情報入力シート!L82="", "",基本情報入力シート!L82)</f>
        <v>葛城市</v>
      </c>
      <c r="H180" s="1089" t="str">
        <f>IF(基本情報入力シート!Q82="", "",基本情報入力シート!Q82)</f>
        <v>奈良県</v>
      </c>
      <c r="I180" s="1089" t="str">
        <f>IF(基本情報入力シート!V82="", "",基本情報入力シート!V82)</f>
        <v>葛城市</v>
      </c>
      <c r="J180" s="1089" t="str">
        <f>IF(基本情報入力シート!W82="", "",基本情報入力シート!W82)</f>
        <v>○○ホームヘルプ</v>
      </c>
      <c r="K180" s="1089" t="str">
        <f>IF(基本情報入力シート!X82="", "",基本情報入力シート!X82)</f>
        <v>訪問型サービス（独自／定率）</v>
      </c>
      <c r="L180" s="1092">
        <f>IF(基本情報入力シート!AC82=0, "",基本情報入力シート!AC82)</f>
        <v>750000</v>
      </c>
      <c r="M180" s="1095" t="str">
        <f>IF(基本情報入力シート!AD82="", "",基本情報入力シート!AD82)</f>
        <v>数式を削除して手入力</v>
      </c>
      <c r="N180" s="1076" t="s">
        <v>393</v>
      </c>
      <c r="O180" s="1061">
        <f>IFERROR(VLOOKUP(K180,【参考】数式用２!$A$2:$AD$48,MATCH(N180,【参考】数式用２!$C$4:$AD$4,0)+2,0),"")</f>
        <v>0.14499999999999999</v>
      </c>
      <c r="P180" s="1144" t="s">
        <v>384</v>
      </c>
      <c r="Q180" s="1147">
        <f>IFERROR(VLOOKUP(K180,【参考】数式用２!$A$2:$AC$48,MATCH(P180,【参考】数式用２!$C$4:$AC$4,0)+2,0),"")</f>
        <v>0.245</v>
      </c>
      <c r="R180" s="1150" t="s">
        <v>301</v>
      </c>
      <c r="S180" s="1153">
        <v>7</v>
      </c>
      <c r="T180" s="1070" t="s">
        <v>385</v>
      </c>
      <c r="U180" s="1153">
        <v>4</v>
      </c>
      <c r="V180" s="1070" t="s">
        <v>386</v>
      </c>
      <c r="W180" s="1153">
        <v>8</v>
      </c>
      <c r="X180" s="1070" t="s">
        <v>385</v>
      </c>
      <c r="Y180" s="1153">
        <v>3</v>
      </c>
      <c r="Z180" s="1070" t="s">
        <v>387</v>
      </c>
      <c r="AA180" s="1070" t="s">
        <v>209</v>
      </c>
      <c r="AB180" s="1070">
        <f>IF(S180&gt;=1,(W180*12+Y180)-(S180*12+U180)+1,"")</f>
        <v>12</v>
      </c>
      <c r="AC180" s="1073" t="s">
        <v>388</v>
      </c>
      <c r="AD180" s="1064" t="str">
        <f>IFERROR(ROUNDDOWN(ROUND(L180*Q180,0)*M180,0)*AB180,"")</f>
        <v/>
      </c>
      <c r="AE180" s="1067" t="str">
        <f>IFERROR(ROUNDDOWN(ROUNDDOWN(ROUND(L180*VLOOKUP(K180,【参考】数式用２!$A$2:$AC$48,MATCH("処遇改善加算Ⅳ",【参考】数式用２!$C$4:$O$4,0)+2,0),0)*M180,0)*AB180*0.5,0), "")</f>
        <v/>
      </c>
      <c r="AF180" s="1130" t="s">
        <v>2653</v>
      </c>
      <c r="AG180" s="1064" t="str">
        <f>IF(AND(AQ180&lt;&gt;"対象外", P180&lt;&gt;""),ROUNDDOWN(ROUND(L180*VLOOKUP(K180,【参考】数式用２!$A$2:$K$48,MATCH("ベア加算あり",【参考】数式用２!$C$4:$K$4,0)+2,0),0)*M180,0)*AB180,"")</f>
        <v/>
      </c>
      <c r="AH180" s="1133"/>
      <c r="AI180" s="1130" t="s">
        <v>2653</v>
      </c>
      <c r="AJ180" s="1130" t="s">
        <v>2653</v>
      </c>
      <c r="AK180" s="1136"/>
      <c r="AL180" s="1139" t="s">
        <v>411</v>
      </c>
      <c r="AM180" s="681" t="str">
        <f>IF(Q180="","",IF(Q180&lt;O180,"！加算の要件上は問題ありませんが、令和６年度末の加算率と比較して、令和７年度の加算率が低くなっています。",""))</f>
        <v/>
      </c>
      <c r="AN180" s="371"/>
      <c r="AO180" s="1125" t="str">
        <f>IF(K180&lt;&gt;"","Q列に色付け","")</f>
        <v>Q列に色付け</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対象外</v>
      </c>
      <c r="AV180" s="843" t="str">
        <f>IF(AND(P180&lt;&gt;"処遇改善加算Ⅲ",P180&lt;&gt;"処遇改善加算Ⅳ", P180&lt;&gt;"", AU180&lt;&gt;"対象外"), 1,"")</f>
        <v/>
      </c>
      <c r="AW180" s="843" t="str">
        <f>IFERROR("_"&amp;VLOOKUP(K180, 【参考】数式用２!$AG$2:$AH$48, 2, FALSE), "")</f>
        <v>_A3</v>
      </c>
      <c r="AX180" s="1143" t="str">
        <f>IF(AND(P180="処遇改善加算Ⅰ", AL180=""), "未入力","入力済")</f>
        <v>入力済</v>
      </c>
      <c r="AY180" s="1125" t="str">
        <f>G180</f>
        <v>葛城市</v>
      </c>
      <c r="AZ180"/>
      <c r="BA180"/>
      <c r="BB180"/>
      <c r="BC180"/>
      <c r="BD180"/>
      <c r="BE180"/>
      <c r="BF180"/>
      <c r="BG180"/>
    </row>
    <row r="181" spans="1:59" ht="14.4">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1"/>
      <c r="AO181" s="1126"/>
      <c r="AP181" s="1142"/>
      <c r="AQ181" s="981"/>
      <c r="AR181" s="843"/>
      <c r="AS181" s="843"/>
      <c r="AT181" s="843"/>
      <c r="AU181" s="843"/>
      <c r="AV181" s="843"/>
      <c r="AW181" s="843"/>
      <c r="AX181" s="1143"/>
      <c r="AY181" s="1126"/>
      <c r="AZ181"/>
      <c r="BA181"/>
      <c r="BB181"/>
      <c r="BC181"/>
      <c r="BD181"/>
      <c r="BE181"/>
      <c r="BF181"/>
      <c r="BG181"/>
    </row>
    <row r="182" spans="1:59" ht="14.4">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71"/>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682"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1"/>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1111111150</v>
      </c>
      <c r="C184" s="1082"/>
      <c r="D184" s="1082"/>
      <c r="E184" s="1082"/>
      <c r="F184" s="1083"/>
      <c r="G184" s="1089" t="str">
        <f>IF(基本情報入力シート!L83="", "",基本情報入力シート!L83)</f>
        <v>葛城市</v>
      </c>
      <c r="H184" s="1089" t="str">
        <f>IF(基本情報入力シート!Q83="", "",基本情報入力シート!Q83)</f>
        <v>奈良県</v>
      </c>
      <c r="I184" s="1089" t="str">
        <f>IF(基本情報入力シート!V83="", "",基本情報入力シート!V83)</f>
        <v>葛城市</v>
      </c>
      <c r="J184" s="1089" t="str">
        <f>IF(基本情報入力シート!W83="", "",基本情報入力シート!W83)</f>
        <v>○○ホームヘルプ</v>
      </c>
      <c r="K184" s="1089" t="str">
        <f>IF(基本情報入力シート!X83="", "",基本情報入力シート!X83)</f>
        <v>訪問型サービス（独自／定額）</v>
      </c>
      <c r="L184" s="1092">
        <f>IF(基本情報入力シート!AC83=0, "",基本情報入力シート!AC83)</f>
        <v>750000</v>
      </c>
      <c r="M184" s="1095" t="str">
        <f>IF(基本情報入力シート!AD83="", "",基本情報入力シート!AD83)</f>
        <v>数式を削除して手入力</v>
      </c>
      <c r="N184" s="1076" t="s">
        <v>393</v>
      </c>
      <c r="O184" s="1061">
        <f>IFERROR(VLOOKUP(K184,【参考】数式用２!$A$2:$AD$48,MATCH(N184,【参考】数式用２!$C$4:$AD$4,0)+2,0),"")</f>
        <v>0.14499999999999999</v>
      </c>
      <c r="P184" s="1144" t="s">
        <v>384</v>
      </c>
      <c r="Q184" s="1147">
        <f>IFERROR(VLOOKUP(K184,【参考】数式用２!$A$2:$AC$48,MATCH(P184,【参考】数式用２!$C$4:$AC$4,0)+2,0),"")</f>
        <v>0.245</v>
      </c>
      <c r="R184" s="1150" t="s">
        <v>301</v>
      </c>
      <c r="S184" s="1153">
        <v>7</v>
      </c>
      <c r="T184" s="1070" t="s">
        <v>385</v>
      </c>
      <c r="U184" s="1153">
        <v>4</v>
      </c>
      <c r="V184" s="1070" t="s">
        <v>386</v>
      </c>
      <c r="W184" s="1153">
        <v>8</v>
      </c>
      <c r="X184" s="1070" t="s">
        <v>385</v>
      </c>
      <c r="Y184" s="1153">
        <v>3</v>
      </c>
      <c r="Z184" s="1070" t="s">
        <v>387</v>
      </c>
      <c r="AA184" s="1070" t="s">
        <v>209</v>
      </c>
      <c r="AB184" s="1070">
        <f>IF(S184&gt;=1,(W184*12+Y184)-(S184*12+U184)+1,"")</f>
        <v>12</v>
      </c>
      <c r="AC184" s="1073" t="s">
        <v>388</v>
      </c>
      <c r="AD184" s="1064" t="str">
        <f>IFERROR(ROUNDDOWN(ROUND(L184*Q184,0)*M184,0)*AB184,"")</f>
        <v/>
      </c>
      <c r="AE184" s="1067" t="str">
        <f>IFERROR(ROUNDDOWN(ROUNDDOWN(ROUND(L184*VLOOKUP(K184,【参考】数式用２!$A$2:$AC$48,MATCH("処遇改善加算Ⅳ",【参考】数式用２!$C$4:$O$4,0)+2,0),0)*M184,0)*AB184*0.5,0), "")</f>
        <v/>
      </c>
      <c r="AF184" s="1130" t="s">
        <v>2653</v>
      </c>
      <c r="AG184" s="1064" t="str">
        <f>IF(AND(AQ184&lt;&gt;"対象外", P184&lt;&gt;""),ROUNDDOWN(ROUND(L184*VLOOKUP(K184,【参考】数式用２!$A$2:$K$48,MATCH("ベア加算あり",【参考】数式用２!$C$4:$K$4,0)+2,0),0)*M184,0)*AB184,"")</f>
        <v/>
      </c>
      <c r="AH184" s="1133"/>
      <c r="AI184" s="1130" t="s">
        <v>2653</v>
      </c>
      <c r="AJ184" s="1130" t="s">
        <v>389</v>
      </c>
      <c r="AK184" s="1136"/>
      <c r="AL184" s="1139" t="s">
        <v>411</v>
      </c>
      <c r="AM184" s="681" t="str">
        <f>IF(Q184="","",IF(Q184&lt;O184,"！加算の要件上は問題ありませんが、令和６年度末の加算率と比較して、令和７年度の加算率が低くなっています。",""))</f>
        <v/>
      </c>
      <c r="AN184" s="371"/>
      <c r="AO184" s="1126" t="str">
        <f>IF(K184&lt;&gt;"","Q列に色付け","")</f>
        <v>Q列に色付け</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対象外</v>
      </c>
      <c r="AV184" s="843" t="str">
        <f>IF(AND(P184&lt;&gt;"処遇改善加算Ⅲ",P184&lt;&gt;"処遇改善加算Ⅳ", P184&lt;&gt;"", AU184&lt;&gt;"対象外"), 1,"")</f>
        <v/>
      </c>
      <c r="AW184" s="843" t="str">
        <f>IFERROR("_"&amp;VLOOKUP(K184, 【参考】数式用２!$AG$2:$AH$48, 2, FALSE), "")</f>
        <v>_A4</v>
      </c>
      <c r="AX184" s="1143" t="str">
        <f>IF(AND(P184="処遇改善加算Ⅰ", AL184=""), "未入力","入力済")</f>
        <v>入力済</v>
      </c>
      <c r="AY184" s="1125" t="str">
        <f>G184</f>
        <v>葛城市</v>
      </c>
      <c r="AZ184"/>
      <c r="BA184"/>
      <c r="BB184"/>
      <c r="BC184"/>
      <c r="BD184"/>
      <c r="BE184"/>
      <c r="BF184"/>
      <c r="BG184"/>
    </row>
    <row r="185" spans="1:59" ht="14.4">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1"/>
      <c r="AO185" s="1126"/>
      <c r="AP185" s="1142"/>
      <c r="AQ185" s="981"/>
      <c r="AR185" s="843"/>
      <c r="AS185" s="843"/>
      <c r="AT185" s="843"/>
      <c r="AU185" s="843"/>
      <c r="AV185" s="843"/>
      <c r="AW185" s="843"/>
      <c r="AX185" s="1143"/>
      <c r="AY185" s="1126"/>
      <c r="AZ185"/>
      <c r="BA185"/>
      <c r="BB185"/>
      <c r="BC185"/>
      <c r="BD185"/>
      <c r="BE185"/>
      <c r="BF185"/>
      <c r="BG185"/>
    </row>
    <row r="186" spans="1:59" ht="14.4">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71"/>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682"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1"/>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1111111151</v>
      </c>
      <c r="C188" s="1082"/>
      <c r="D188" s="1082"/>
      <c r="E188" s="1082"/>
      <c r="F188" s="1083"/>
      <c r="G188" s="1089" t="str">
        <f>IF(基本情報入力シート!L84="", "",基本情報入力シート!L84)</f>
        <v>宇陀市</v>
      </c>
      <c r="H188" s="1089" t="str">
        <f>IF(基本情報入力シート!Q84="", "",基本情報入力シート!Q84)</f>
        <v>奈良県</v>
      </c>
      <c r="I188" s="1089" t="str">
        <f>IF(基本情報入力シート!V84="", "",基本情報入力シート!V84)</f>
        <v>宇陀市</v>
      </c>
      <c r="J188" s="1089" t="str">
        <f>IF(基本情報入力シート!W84="", "",基本情報入力シート!W84)</f>
        <v>○○デイケア</v>
      </c>
      <c r="K188" s="1089" t="str">
        <f>IF(基本情報入力シート!X84="", "",基本情報入力シート!X84)</f>
        <v>通所型サービス（独自）</v>
      </c>
      <c r="L188" s="1092">
        <f>IF(基本情報入力シート!AC84=0, "",基本情報入力シート!AC84)</f>
        <v>750000</v>
      </c>
      <c r="M188" s="1095" t="str">
        <f>IF(基本情報入力シート!AD84="", "",基本情報入力シート!AD84)</f>
        <v>数式を削除して手入力</v>
      </c>
      <c r="N188" s="1076" t="s">
        <v>393</v>
      </c>
      <c r="O188" s="1061">
        <f>IFERROR(VLOOKUP(K188,【参考】数式用２!$A$2:$AD$48,MATCH(N188,【参考】数式用２!$C$4:$AD$4,0)+2,0),"")</f>
        <v>6.3999999999999987E-2</v>
      </c>
      <c r="P188" s="1144" t="s">
        <v>384</v>
      </c>
      <c r="Q188" s="1147">
        <f>IFERROR(VLOOKUP(K188,【参考】数式用２!$A$2:$AC$48,MATCH(P188,【参考】数式用２!$C$4:$AC$4,0)+2,0),"")</f>
        <v>9.1999999999999985E-2</v>
      </c>
      <c r="R188" s="1150" t="s">
        <v>301</v>
      </c>
      <c r="S188" s="1153">
        <v>7</v>
      </c>
      <c r="T188" s="1070" t="s">
        <v>385</v>
      </c>
      <c r="U188" s="1153">
        <v>4</v>
      </c>
      <c r="V188" s="1070" t="s">
        <v>386</v>
      </c>
      <c r="W188" s="1153">
        <v>8</v>
      </c>
      <c r="X188" s="1070" t="s">
        <v>385</v>
      </c>
      <c r="Y188" s="1153">
        <v>3</v>
      </c>
      <c r="Z188" s="1070" t="s">
        <v>387</v>
      </c>
      <c r="AA188" s="1070" t="s">
        <v>209</v>
      </c>
      <c r="AB188" s="1070">
        <f>IF(S188&gt;=1,(W188*12+Y188)-(S188*12+U188)+1,"")</f>
        <v>12</v>
      </c>
      <c r="AC188" s="1073" t="s">
        <v>388</v>
      </c>
      <c r="AD188" s="1064" t="str">
        <f>IFERROR(ROUNDDOWN(ROUND(L188*Q188,0)*M188,0)*AB188,"")</f>
        <v/>
      </c>
      <c r="AE188" s="1067" t="str">
        <f>IFERROR(ROUNDDOWN(ROUNDDOWN(ROUND(L188*VLOOKUP(K188,【参考】数式用２!$A$2:$AC$48,MATCH("処遇改善加算Ⅳ",【参考】数式用２!$C$4:$O$4,0)+2,0),0)*M188,0)*AB188*0.5,0), "")</f>
        <v/>
      </c>
      <c r="AF188" s="1130" t="s">
        <v>2653</v>
      </c>
      <c r="AG188" s="1064" t="str">
        <f>IF(AND(AQ188&lt;&gt;"対象外", P188&lt;&gt;""),ROUNDDOWN(ROUND(L188*VLOOKUP(K188,【参考】数式用２!$A$2:$K$48,MATCH("ベア加算あり",【参考】数式用２!$C$4:$K$4,0)+2,0),0)*M188,0)*AB188,"")</f>
        <v/>
      </c>
      <c r="AH188" s="1133"/>
      <c r="AI188" s="1130" t="s">
        <v>389</v>
      </c>
      <c r="AJ188" s="1130" t="s">
        <v>389</v>
      </c>
      <c r="AK188" s="1136"/>
      <c r="AL188" s="1139" t="s">
        <v>412</v>
      </c>
      <c r="AM188" s="681" t="str">
        <f>IF(Q188="","",IF(Q188&lt;O188,"！加算の要件上は問題ありませんが、令和６年度末の加算率と比較して、令和７年度の加算率が低くなっています。",""))</f>
        <v/>
      </c>
      <c r="AN188" s="371"/>
      <c r="AO188" s="1125" t="str">
        <f>IF(K188&lt;&gt;"","Q列に色付け","")</f>
        <v>Q列に色付け</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対象外</v>
      </c>
      <c r="AV188" s="843" t="str">
        <f>IF(AND(P188&lt;&gt;"処遇改善加算Ⅲ",P188&lt;&gt;"処遇改善加算Ⅳ", P188&lt;&gt;"", AU188&lt;&gt;"対象外"), 1,"")</f>
        <v/>
      </c>
      <c r="AW188" s="843" t="str">
        <f>IFERROR("_"&amp;VLOOKUP(K188, 【参考】数式用２!$AG$2:$AH$48, 2, FALSE), "")</f>
        <v>_A6</v>
      </c>
      <c r="AX188" s="1143" t="str">
        <f>IF(AND(P188="処遇改善加算Ⅰ", AL188=""), "未入力","入力済")</f>
        <v>入力済</v>
      </c>
      <c r="AY188" s="1125" t="str">
        <f>G188</f>
        <v>宇陀市</v>
      </c>
      <c r="AZ188"/>
      <c r="BA188"/>
      <c r="BB188"/>
      <c r="BC188"/>
      <c r="BD188"/>
      <c r="BE188"/>
      <c r="BF188"/>
      <c r="BG188"/>
    </row>
    <row r="189" spans="1:59" ht="14.4">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1"/>
      <c r="AO189" s="1126"/>
      <c r="AP189" s="1142"/>
      <c r="AQ189" s="981"/>
      <c r="AR189" s="843"/>
      <c r="AS189" s="843"/>
      <c r="AT189" s="843"/>
      <c r="AU189" s="843"/>
      <c r="AV189" s="843"/>
      <c r="AW189" s="843"/>
      <c r="AX189" s="1143"/>
      <c r="AY189" s="1126"/>
      <c r="AZ189"/>
      <c r="BA189"/>
      <c r="BB189"/>
      <c r="BC189"/>
      <c r="BD189"/>
      <c r="BE189"/>
      <c r="BF189"/>
      <c r="BG189"/>
    </row>
    <row r="190" spans="1:59" ht="14.4">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71"/>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682"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1"/>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1111111152</v>
      </c>
      <c r="C192" s="1082"/>
      <c r="D192" s="1082"/>
      <c r="E192" s="1082"/>
      <c r="F192" s="1083"/>
      <c r="G192" s="1089" t="str">
        <f>IF(基本情報入力シート!L85="", "",基本情報入力シート!L85)</f>
        <v>宇陀市</v>
      </c>
      <c r="H192" s="1089" t="str">
        <f>IF(基本情報入力シート!Q85="", "",基本情報入力シート!Q85)</f>
        <v>奈良県</v>
      </c>
      <c r="I192" s="1089" t="str">
        <f>IF(基本情報入力シート!V85="", "",基本情報入力シート!V85)</f>
        <v>宇陀市</v>
      </c>
      <c r="J192" s="1089" t="str">
        <f>IF(基本情報入力シート!W85="", "",基本情報入力シート!W85)</f>
        <v>○○デイケア</v>
      </c>
      <c r="K192" s="1089" t="str">
        <f>IF(基本情報入力シート!X85="", "",基本情報入力シート!X85)</f>
        <v>通所型サービス（独自／定率）</v>
      </c>
      <c r="L192" s="1092">
        <f>IF(基本情報入力シート!AC85=0, "",基本情報入力シート!AC85)</f>
        <v>750000</v>
      </c>
      <c r="M192" s="1095" t="str">
        <f>IF(基本情報入力シート!AD85="", "",基本情報入力シート!AD85)</f>
        <v>数式を削除して手入力</v>
      </c>
      <c r="N192" s="1076" t="s">
        <v>393</v>
      </c>
      <c r="O192" s="1061">
        <f>IFERROR(VLOOKUP(K192,【参考】数式用２!$A$2:$AD$48,MATCH(N192,【参考】数式用２!$C$4:$AD$4,0)+2,0),"")</f>
        <v>6.3999999999999987E-2</v>
      </c>
      <c r="P192" s="1144" t="s">
        <v>384</v>
      </c>
      <c r="Q192" s="1147">
        <f>IFERROR(VLOOKUP(K192,【参考】数式用２!$A$2:$AC$48,MATCH(P192,【参考】数式用２!$C$4:$AC$4,0)+2,0),"")</f>
        <v>9.1999999999999985E-2</v>
      </c>
      <c r="R192" s="1150" t="s">
        <v>301</v>
      </c>
      <c r="S192" s="1153">
        <v>7</v>
      </c>
      <c r="T192" s="1070" t="s">
        <v>385</v>
      </c>
      <c r="U192" s="1153">
        <v>4</v>
      </c>
      <c r="V192" s="1070" t="s">
        <v>386</v>
      </c>
      <c r="W192" s="1153">
        <v>8</v>
      </c>
      <c r="X192" s="1070" t="s">
        <v>385</v>
      </c>
      <c r="Y192" s="1153">
        <v>3</v>
      </c>
      <c r="Z192" s="1070" t="s">
        <v>387</v>
      </c>
      <c r="AA192" s="1070" t="s">
        <v>209</v>
      </c>
      <c r="AB192" s="1070">
        <f>IF(S192&gt;=1,(W192*12+Y192)-(S192*12+U192)+1,"")</f>
        <v>12</v>
      </c>
      <c r="AC192" s="1073" t="s">
        <v>388</v>
      </c>
      <c r="AD192" s="1064" t="str">
        <f>IFERROR(ROUNDDOWN(ROUND(L192*Q192,0)*M192,0)*AB192,"")</f>
        <v/>
      </c>
      <c r="AE192" s="1067" t="str">
        <f>IFERROR(ROUNDDOWN(ROUNDDOWN(ROUND(L192*VLOOKUP(K192,【参考】数式用２!$A$2:$AC$48,MATCH("処遇改善加算Ⅳ",【参考】数式用２!$C$4:$O$4,0)+2,0),0)*M192,0)*AB192*0.5,0), "")</f>
        <v/>
      </c>
      <c r="AF192" s="1130" t="s">
        <v>2653</v>
      </c>
      <c r="AG192" s="1064" t="str">
        <f>IF(AND(AQ192&lt;&gt;"対象外", P192&lt;&gt;""),ROUNDDOWN(ROUND(L192*VLOOKUP(K192,【参考】数式用２!$A$2:$K$48,MATCH("ベア加算あり",【参考】数式用２!$C$4:$K$4,0)+2,0),0)*M192,0)*AB192,"")</f>
        <v/>
      </c>
      <c r="AH192" s="1133"/>
      <c r="AI192" s="1130" t="s">
        <v>389</v>
      </c>
      <c r="AJ192" s="1130" t="s">
        <v>2653</v>
      </c>
      <c r="AK192" s="1136"/>
      <c r="AL192" s="1139" t="s">
        <v>412</v>
      </c>
      <c r="AM192" s="681" t="str">
        <f>IF(Q192="","",IF(Q192&lt;O192,"！加算の要件上は問題ありませんが、令和６年度末の加算率と比較して、令和７年度の加算率が低くなっています。",""))</f>
        <v/>
      </c>
      <c r="AN192" s="371"/>
      <c r="AO192" s="1126" t="str">
        <f>IF(K192&lt;&gt;"","Q列に色付け","")</f>
        <v>Q列に色付け</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対象外</v>
      </c>
      <c r="AV192" s="843" t="str">
        <f>IF(AND(P192&lt;&gt;"処遇改善加算Ⅲ",P192&lt;&gt;"処遇改善加算Ⅳ", P192&lt;&gt;"", AU192&lt;&gt;"対象外"), 1,"")</f>
        <v/>
      </c>
      <c r="AW192" s="843" t="str">
        <f>IFERROR("_"&amp;VLOOKUP(K192, 【参考】数式用２!$AG$2:$AH$48, 2, FALSE), "")</f>
        <v>_A7</v>
      </c>
      <c r="AX192" s="1143" t="str">
        <f>IF(AND(P192="処遇改善加算Ⅰ", AL192=""), "未入力","入力済")</f>
        <v>入力済</v>
      </c>
      <c r="AY192" s="1125" t="str">
        <f>G192</f>
        <v>宇陀市</v>
      </c>
      <c r="AZ192"/>
      <c r="BA192"/>
      <c r="BB192"/>
      <c r="BC192"/>
      <c r="BD192"/>
      <c r="BE192"/>
      <c r="BF192"/>
      <c r="BG192"/>
    </row>
    <row r="193" spans="1:59" ht="14.4">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1"/>
      <c r="AO193" s="1126"/>
      <c r="AP193" s="1142"/>
      <c r="AQ193" s="981"/>
      <c r="AR193" s="843"/>
      <c r="AS193" s="843"/>
      <c r="AT193" s="843"/>
      <c r="AU193" s="843"/>
      <c r="AV193" s="843"/>
      <c r="AW193" s="843"/>
      <c r="AX193" s="1143"/>
      <c r="AY193" s="1126"/>
      <c r="AZ193"/>
      <c r="BA193"/>
      <c r="BB193"/>
      <c r="BC193"/>
      <c r="BD193"/>
      <c r="BE193"/>
      <c r="BF193"/>
      <c r="BG193"/>
    </row>
    <row r="194" spans="1:59" ht="14.4">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71"/>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682"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1"/>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1111111153</v>
      </c>
      <c r="C196" s="1082"/>
      <c r="D196" s="1082"/>
      <c r="E196" s="1082"/>
      <c r="F196" s="1083"/>
      <c r="G196" s="1089" t="str">
        <f>IF(基本情報入力シート!L86="", "",基本情報入力シート!L86)</f>
        <v>宇陀市</v>
      </c>
      <c r="H196" s="1089" t="str">
        <f>IF(基本情報入力シート!Q86="", "",基本情報入力シート!Q86)</f>
        <v>奈良県</v>
      </c>
      <c r="I196" s="1089" t="str">
        <f>IF(基本情報入力シート!V86="", "",基本情報入力シート!V86)</f>
        <v>宇陀市</v>
      </c>
      <c r="J196" s="1089" t="str">
        <f>IF(基本情報入力シート!W86="", "",基本情報入力シート!W86)</f>
        <v>○○デイケア</v>
      </c>
      <c r="K196" s="1089" t="str">
        <f>IF(基本情報入力シート!X86="", "",基本情報入力シート!X86)</f>
        <v>通所型サービス（独自／定額）</v>
      </c>
      <c r="L196" s="1092">
        <f>IF(基本情報入力シート!AC86=0, "",基本情報入力シート!AC86)</f>
        <v>750000</v>
      </c>
      <c r="M196" s="1095" t="str">
        <f>IF(基本情報入力シート!AD86="", "",基本情報入力シート!AD86)</f>
        <v>数式を削除して手入力</v>
      </c>
      <c r="N196" s="1076" t="s">
        <v>393</v>
      </c>
      <c r="O196" s="1061">
        <f>IFERROR(VLOOKUP(K196,【参考】数式用２!$A$2:$AD$48,MATCH(N196,【参考】数式用２!$C$4:$AD$4,0)+2,0),"")</f>
        <v>6.3999999999999987E-2</v>
      </c>
      <c r="P196" s="1144" t="s">
        <v>384</v>
      </c>
      <c r="Q196" s="1147">
        <f>IFERROR(VLOOKUP(K196,【参考】数式用２!$A$2:$AC$48,MATCH(P196,【参考】数式用２!$C$4:$AC$4,0)+2,0),"")</f>
        <v>9.1999999999999985E-2</v>
      </c>
      <c r="R196" s="1150" t="s">
        <v>301</v>
      </c>
      <c r="S196" s="1153">
        <v>7</v>
      </c>
      <c r="T196" s="1070" t="s">
        <v>385</v>
      </c>
      <c r="U196" s="1153">
        <v>4</v>
      </c>
      <c r="V196" s="1070" t="s">
        <v>386</v>
      </c>
      <c r="W196" s="1153">
        <v>8</v>
      </c>
      <c r="X196" s="1070" t="s">
        <v>385</v>
      </c>
      <c r="Y196" s="1153">
        <v>3</v>
      </c>
      <c r="Z196" s="1070" t="s">
        <v>387</v>
      </c>
      <c r="AA196" s="1070" t="s">
        <v>209</v>
      </c>
      <c r="AB196" s="1070">
        <f>IF(S196&gt;=1,(W196*12+Y196)-(S196*12+U196)+1,"")</f>
        <v>12</v>
      </c>
      <c r="AC196" s="1073" t="s">
        <v>388</v>
      </c>
      <c r="AD196" s="1064" t="str">
        <f>IFERROR(ROUNDDOWN(ROUND(L196*Q196,0)*M196,0)*AB196,"")</f>
        <v/>
      </c>
      <c r="AE196" s="1067" t="str">
        <f>IFERROR(ROUNDDOWN(ROUNDDOWN(ROUND(L196*VLOOKUP(K196,【参考】数式用２!$A$2:$AC$48,MATCH("処遇改善加算Ⅳ",【参考】数式用２!$C$4:$O$4,0)+2,0),0)*M196,0)*AB196*0.5,0), "")</f>
        <v/>
      </c>
      <c r="AF196" s="1130" t="s">
        <v>2653</v>
      </c>
      <c r="AG196" s="1064" t="str">
        <f>IF(AND(AQ196&lt;&gt;"対象外", P196&lt;&gt;""),ROUNDDOWN(ROUND(L196*VLOOKUP(K196,【参考】数式用２!$A$2:$K$48,MATCH("ベア加算あり",【参考】数式用２!$C$4:$K$4,0)+2,0),0)*M196,0)*AB196,"")</f>
        <v/>
      </c>
      <c r="AH196" s="1133"/>
      <c r="AI196" s="1130" t="s">
        <v>2653</v>
      </c>
      <c r="AJ196" s="1130" t="s">
        <v>389</v>
      </c>
      <c r="AK196" s="1136"/>
      <c r="AL196" s="1139" t="s">
        <v>412</v>
      </c>
      <c r="AM196" s="681" t="str">
        <f>IF(Q196="","",IF(Q196&lt;O196,"！加算の要件上は問題ありませんが、令和６年度末の加算率と比較して、令和７年度の加算率が低くなっています。",""))</f>
        <v/>
      </c>
      <c r="AN196" s="371"/>
      <c r="AO196" s="1125" t="str">
        <f>IF(K196&lt;&gt;"","Q列に色付け","")</f>
        <v>Q列に色付け</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対象外</v>
      </c>
      <c r="AV196" s="843" t="str">
        <f>IF(AND(P196&lt;&gt;"処遇改善加算Ⅲ",P196&lt;&gt;"処遇改善加算Ⅳ", P196&lt;&gt;"", AU196&lt;&gt;"対象外"), 1,"")</f>
        <v/>
      </c>
      <c r="AW196" s="843" t="str">
        <f>IFERROR("_"&amp;VLOOKUP(K196, 【参考】数式用２!$AG$2:$AH$48, 2, FALSE), "")</f>
        <v>_A8</v>
      </c>
      <c r="AX196" s="1143" t="str">
        <f>IF(AND(P196="処遇改善加算Ⅰ", AL196=""), "未入力","入力済")</f>
        <v>入力済</v>
      </c>
      <c r="AY196" s="1125" t="str">
        <f>G196</f>
        <v>宇陀市</v>
      </c>
      <c r="AZ196"/>
      <c r="BA196"/>
      <c r="BB196"/>
      <c r="BC196"/>
      <c r="BD196"/>
      <c r="BE196"/>
      <c r="BF196"/>
      <c r="BG196"/>
    </row>
    <row r="197" spans="1:59" ht="14.4">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1"/>
      <c r="AO197" s="1126"/>
      <c r="AP197" s="1142"/>
      <c r="AQ197" s="981"/>
      <c r="AR197" s="843"/>
      <c r="AS197" s="843"/>
      <c r="AT197" s="843"/>
      <c r="AU197" s="843"/>
      <c r="AV197" s="843"/>
      <c r="AW197" s="843"/>
      <c r="AX197" s="1143"/>
      <c r="AY197" s="1126"/>
      <c r="AZ197"/>
      <c r="BA197"/>
      <c r="BB197"/>
      <c r="BC197"/>
      <c r="BD197"/>
      <c r="BE197"/>
      <c r="BF197"/>
      <c r="BG197"/>
    </row>
    <row r="198" spans="1:59" ht="14.4">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71"/>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682"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1"/>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301</v>
      </c>
      <c r="S200" s="1153"/>
      <c r="T200" s="1070" t="s">
        <v>385</v>
      </c>
      <c r="U200" s="1153"/>
      <c r="V200" s="1070" t="s">
        <v>386</v>
      </c>
      <c r="W200" s="1153"/>
      <c r="X200" s="1070" t="s">
        <v>385</v>
      </c>
      <c r="Y200" s="1153"/>
      <c r="Z200" s="1070" t="s">
        <v>387</v>
      </c>
      <c r="AA200" s="1070" t="s">
        <v>209</v>
      </c>
      <c r="AB200" s="1070" t="str">
        <f>IF(S200&gt;=1,(W200*12+Y200)-(S200*12+U200)+1,"")</f>
        <v/>
      </c>
      <c r="AC200" s="1073" t="s">
        <v>388</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81" t="str">
        <f>IF(Q200="","",IF(Q200&lt;O200,"！加算の要件上は問題ありませんが、令和６年度末の加算率と比較して、令和７年度の加算率が低くなっています。",""))</f>
        <v/>
      </c>
      <c r="AN200" s="371"/>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4">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1"/>
      <c r="AO201" s="1126"/>
      <c r="AP201" s="1142"/>
      <c r="AQ201" s="981"/>
      <c r="AR201" s="843"/>
      <c r="AS201" s="843"/>
      <c r="AT201" s="843"/>
      <c r="AU201" s="843"/>
      <c r="AV201" s="843"/>
      <c r="AW201" s="843"/>
      <c r="AX201" s="1143"/>
      <c r="AY201" s="1126"/>
      <c r="AZ201"/>
      <c r="BA201"/>
      <c r="BB201"/>
      <c r="BC201"/>
      <c r="BD201"/>
      <c r="BE201"/>
      <c r="BF201"/>
      <c r="BG201"/>
    </row>
    <row r="202" spans="1:59" ht="14.4">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71"/>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682"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1"/>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301</v>
      </c>
      <c r="S204" s="1153"/>
      <c r="T204" s="1070" t="s">
        <v>385</v>
      </c>
      <c r="U204" s="1153"/>
      <c r="V204" s="1070" t="s">
        <v>386</v>
      </c>
      <c r="W204" s="1153"/>
      <c r="X204" s="1070" t="s">
        <v>385</v>
      </c>
      <c r="Y204" s="1153"/>
      <c r="Z204" s="1070" t="s">
        <v>387</v>
      </c>
      <c r="AA204" s="1070" t="s">
        <v>209</v>
      </c>
      <c r="AB204" s="1070" t="str">
        <f>IF(S204&gt;=1,(W204*12+Y204)-(S204*12+U204)+1,"")</f>
        <v/>
      </c>
      <c r="AC204" s="1073" t="s">
        <v>388</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81" t="str">
        <f>IF(Q204="","",IF(Q204&lt;O204,"！加算の要件上は問題ありませんが、令和６年度末の加算率と比較して、令和７年度の加算率が低くなっています。",""))</f>
        <v/>
      </c>
      <c r="AN204" s="371"/>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4">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1"/>
      <c r="AO205" s="1126"/>
      <c r="AP205" s="1142"/>
      <c r="AQ205" s="981"/>
      <c r="AR205" s="843"/>
      <c r="AS205" s="843"/>
      <c r="AT205" s="843"/>
      <c r="AU205" s="843"/>
      <c r="AV205" s="843"/>
      <c r="AW205" s="843"/>
      <c r="AX205" s="1143"/>
      <c r="AY205" s="1126"/>
      <c r="AZ205"/>
      <c r="BA205"/>
      <c r="BB205"/>
      <c r="BC205"/>
      <c r="BD205"/>
      <c r="BE205"/>
      <c r="BF205"/>
      <c r="BG205"/>
    </row>
    <row r="206" spans="1:59" ht="14.4">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71"/>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682"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1"/>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301</v>
      </c>
      <c r="S208" s="1153"/>
      <c r="T208" s="1070" t="s">
        <v>385</v>
      </c>
      <c r="U208" s="1153"/>
      <c r="V208" s="1070" t="s">
        <v>386</v>
      </c>
      <c r="W208" s="1153"/>
      <c r="X208" s="1070" t="s">
        <v>385</v>
      </c>
      <c r="Y208" s="1153"/>
      <c r="Z208" s="1070" t="s">
        <v>387</v>
      </c>
      <c r="AA208" s="1070" t="s">
        <v>209</v>
      </c>
      <c r="AB208" s="1070" t="str">
        <f>IF(S208&gt;=1,(W208*12+Y208)-(S208*12+U208)+1,"")</f>
        <v/>
      </c>
      <c r="AC208" s="1073" t="s">
        <v>388</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81" t="str">
        <f>IF(Q208="","",IF(Q208&lt;O208,"！加算の要件上は問題ありませんが、令和６年度末の加算率と比較して、令和７年度の加算率が低くなっています。",""))</f>
        <v/>
      </c>
      <c r="AN208" s="371"/>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4">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1"/>
      <c r="AO209" s="1126"/>
      <c r="AP209" s="1142"/>
      <c r="AQ209" s="981"/>
      <c r="AR209" s="843"/>
      <c r="AS209" s="843"/>
      <c r="AT209" s="843"/>
      <c r="AU209" s="843"/>
      <c r="AV209" s="843"/>
      <c r="AW209" s="843"/>
      <c r="AX209" s="1143"/>
      <c r="AY209" s="1126"/>
      <c r="AZ209"/>
      <c r="BA209"/>
      <c r="BB209"/>
      <c r="BC209"/>
      <c r="BD209"/>
      <c r="BE209"/>
      <c r="BF209"/>
      <c r="BG209"/>
    </row>
    <row r="210" spans="1:59" ht="14.4">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71"/>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682"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1"/>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301</v>
      </c>
      <c r="S212" s="1153"/>
      <c r="T212" s="1070" t="s">
        <v>385</v>
      </c>
      <c r="U212" s="1153"/>
      <c r="V212" s="1070" t="s">
        <v>386</v>
      </c>
      <c r="W212" s="1153"/>
      <c r="X212" s="1070" t="s">
        <v>385</v>
      </c>
      <c r="Y212" s="1153"/>
      <c r="Z212" s="1070" t="s">
        <v>387</v>
      </c>
      <c r="AA212" s="1070" t="s">
        <v>209</v>
      </c>
      <c r="AB212" s="1070" t="str">
        <f>IF(S212&gt;=1,(W212*12+Y212)-(S212*12+U212)+1,"")</f>
        <v/>
      </c>
      <c r="AC212" s="1073" t="s">
        <v>388</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81" t="str">
        <f>IF(Q212="","",IF(Q212&lt;O212,"！加算の要件上は問題ありませんが、令和６年度末の加算率と比較して、令和７年度の加算率が低くなっています。",""))</f>
        <v/>
      </c>
      <c r="AN212" s="371"/>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4">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1"/>
      <c r="AO213" s="1126"/>
      <c r="AP213" s="1142"/>
      <c r="AQ213" s="981"/>
      <c r="AR213" s="843"/>
      <c r="AS213" s="843"/>
      <c r="AT213" s="843"/>
      <c r="AU213" s="843"/>
      <c r="AV213" s="843"/>
      <c r="AW213" s="843"/>
      <c r="AX213" s="1143"/>
      <c r="AY213" s="1126"/>
      <c r="AZ213"/>
      <c r="BA213"/>
      <c r="BB213"/>
      <c r="BC213"/>
      <c r="BD213"/>
      <c r="BE213"/>
      <c r="BF213"/>
      <c r="BG213"/>
    </row>
    <row r="214" spans="1:59" ht="14.4">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71"/>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682"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1"/>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301</v>
      </c>
      <c r="S216" s="1153"/>
      <c r="T216" s="1070" t="s">
        <v>385</v>
      </c>
      <c r="U216" s="1153"/>
      <c r="V216" s="1070" t="s">
        <v>386</v>
      </c>
      <c r="W216" s="1153"/>
      <c r="X216" s="1070" t="s">
        <v>385</v>
      </c>
      <c r="Y216" s="1153"/>
      <c r="Z216" s="1070" t="s">
        <v>387</v>
      </c>
      <c r="AA216" s="1070" t="s">
        <v>209</v>
      </c>
      <c r="AB216" s="1070" t="str">
        <f>IF(S216&gt;=1,(W216*12+Y216)-(S216*12+U216)+1,"")</f>
        <v/>
      </c>
      <c r="AC216" s="1073" t="s">
        <v>388</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81" t="str">
        <f>IF(Q216="","",IF(Q216&lt;O216,"！加算の要件上は問題ありませんが、令和６年度末の加算率と比較して、令和７年度の加算率が低くなっています。",""))</f>
        <v/>
      </c>
      <c r="AN216" s="371"/>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4">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1"/>
      <c r="AO217" s="1126"/>
      <c r="AP217" s="1142"/>
      <c r="AQ217" s="981"/>
      <c r="AR217" s="843"/>
      <c r="AS217" s="843"/>
      <c r="AT217" s="843"/>
      <c r="AU217" s="843"/>
      <c r="AV217" s="843"/>
      <c r="AW217" s="843"/>
      <c r="AX217" s="1143"/>
      <c r="AY217" s="1126"/>
      <c r="AZ217"/>
      <c r="BA217"/>
      <c r="BB217"/>
      <c r="BC217"/>
      <c r="BD217"/>
      <c r="BE217"/>
      <c r="BF217"/>
      <c r="BG217"/>
    </row>
    <row r="218" spans="1:59" ht="14.4">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71"/>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682"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1"/>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301</v>
      </c>
      <c r="S220" s="1153"/>
      <c r="T220" s="1070" t="s">
        <v>385</v>
      </c>
      <c r="U220" s="1153"/>
      <c r="V220" s="1070" t="s">
        <v>386</v>
      </c>
      <c r="W220" s="1153"/>
      <c r="X220" s="1070" t="s">
        <v>385</v>
      </c>
      <c r="Y220" s="1153"/>
      <c r="Z220" s="1070" t="s">
        <v>387</v>
      </c>
      <c r="AA220" s="1070" t="s">
        <v>209</v>
      </c>
      <c r="AB220" s="1070" t="str">
        <f>IF(S220&gt;=1,(W220*12+Y220)-(S220*12+U220)+1,"")</f>
        <v/>
      </c>
      <c r="AC220" s="1073" t="s">
        <v>388</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81" t="str">
        <f>IF(Q220="","",IF(Q220&lt;O220,"！加算の要件上は問題ありませんが、令和６年度末の加算率と比較して、令和７年度の加算率が低くなっています。",""))</f>
        <v/>
      </c>
      <c r="AN220" s="371"/>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4">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1"/>
      <c r="AO221" s="1126"/>
      <c r="AP221" s="1142"/>
      <c r="AQ221" s="981"/>
      <c r="AR221" s="843"/>
      <c r="AS221" s="843"/>
      <c r="AT221" s="843"/>
      <c r="AU221" s="843"/>
      <c r="AV221" s="843"/>
      <c r="AW221" s="843"/>
      <c r="AX221" s="1143"/>
      <c r="AY221" s="1126"/>
      <c r="AZ221"/>
      <c r="BA221"/>
      <c r="BB221"/>
      <c r="BC221"/>
      <c r="BD221"/>
      <c r="BE221"/>
      <c r="BF221"/>
      <c r="BG221"/>
    </row>
    <row r="222" spans="1:59" ht="14.4">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71"/>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682"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1"/>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301</v>
      </c>
      <c r="S224" s="1153"/>
      <c r="T224" s="1070" t="s">
        <v>385</v>
      </c>
      <c r="U224" s="1153"/>
      <c r="V224" s="1070" t="s">
        <v>386</v>
      </c>
      <c r="W224" s="1153"/>
      <c r="X224" s="1070" t="s">
        <v>385</v>
      </c>
      <c r="Y224" s="1153"/>
      <c r="Z224" s="1070" t="s">
        <v>387</v>
      </c>
      <c r="AA224" s="1070" t="s">
        <v>209</v>
      </c>
      <c r="AB224" s="1070" t="str">
        <f>IF(S224&gt;=1,(W224*12+Y224)-(S224*12+U224)+1,"")</f>
        <v/>
      </c>
      <c r="AC224" s="1073" t="s">
        <v>388</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81" t="str">
        <f>IF(Q224="","",IF(Q224&lt;O224,"！加算の要件上は問題ありませんが、令和６年度末の加算率と比較して、令和７年度の加算率が低くなっています。",""))</f>
        <v/>
      </c>
      <c r="AN224" s="371"/>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4">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1"/>
      <c r="AO225" s="1126"/>
      <c r="AP225" s="1142"/>
      <c r="AQ225" s="981"/>
      <c r="AR225" s="843"/>
      <c r="AS225" s="843"/>
      <c r="AT225" s="843"/>
      <c r="AU225" s="843"/>
      <c r="AV225" s="843"/>
      <c r="AW225" s="843"/>
      <c r="AX225" s="1143"/>
      <c r="AY225" s="1126"/>
      <c r="AZ225"/>
      <c r="BA225"/>
      <c r="BB225"/>
      <c r="BC225"/>
      <c r="BD225"/>
      <c r="BE225"/>
      <c r="BF225"/>
      <c r="BG225"/>
    </row>
    <row r="226" spans="1:59" ht="14.4">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71"/>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682"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1"/>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301</v>
      </c>
      <c r="S228" s="1153"/>
      <c r="T228" s="1070" t="s">
        <v>385</v>
      </c>
      <c r="U228" s="1153"/>
      <c r="V228" s="1070" t="s">
        <v>386</v>
      </c>
      <c r="W228" s="1153"/>
      <c r="X228" s="1070" t="s">
        <v>385</v>
      </c>
      <c r="Y228" s="1153"/>
      <c r="Z228" s="1070" t="s">
        <v>387</v>
      </c>
      <c r="AA228" s="1070" t="s">
        <v>209</v>
      </c>
      <c r="AB228" s="1070" t="str">
        <f>IF(S228&gt;=1,(W228*12+Y228)-(S228*12+U228)+1,"")</f>
        <v/>
      </c>
      <c r="AC228" s="1073" t="s">
        <v>388</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81" t="str">
        <f>IF(Q228="","",IF(Q228&lt;O228,"！加算の要件上は問題ありませんが、令和６年度末の加算率と比較して、令和７年度の加算率が低くなっています。",""))</f>
        <v/>
      </c>
      <c r="AN228" s="371"/>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4">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1"/>
      <c r="AO229" s="1126"/>
      <c r="AP229" s="1142"/>
      <c r="AQ229" s="981"/>
      <c r="AR229" s="843"/>
      <c r="AS229" s="843"/>
      <c r="AT229" s="843"/>
      <c r="AU229" s="843"/>
      <c r="AV229" s="843"/>
      <c r="AW229" s="843"/>
      <c r="AX229" s="1143"/>
      <c r="AY229" s="1126"/>
      <c r="AZ229"/>
      <c r="BA229"/>
      <c r="BB229"/>
      <c r="BC229"/>
      <c r="BD229"/>
      <c r="BE229"/>
      <c r="BF229"/>
      <c r="BG229"/>
    </row>
    <row r="230" spans="1:59" ht="14.4">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71"/>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682"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1"/>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301</v>
      </c>
      <c r="S232" s="1153"/>
      <c r="T232" s="1070" t="s">
        <v>385</v>
      </c>
      <c r="U232" s="1153"/>
      <c r="V232" s="1070" t="s">
        <v>386</v>
      </c>
      <c r="W232" s="1153"/>
      <c r="X232" s="1070" t="s">
        <v>385</v>
      </c>
      <c r="Y232" s="1153"/>
      <c r="Z232" s="1070" t="s">
        <v>387</v>
      </c>
      <c r="AA232" s="1070" t="s">
        <v>209</v>
      </c>
      <c r="AB232" s="1070" t="str">
        <f>IF(S232&gt;=1,(W232*12+Y232)-(S232*12+U232)+1,"")</f>
        <v/>
      </c>
      <c r="AC232" s="1073" t="s">
        <v>388</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81" t="str">
        <f>IF(Q232="","",IF(Q232&lt;O232,"！加算の要件上は問題ありませんが、令和６年度末の加算率と比較して、令和７年度の加算率が低くなっています。",""))</f>
        <v/>
      </c>
      <c r="AN232" s="371"/>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4">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1"/>
      <c r="AO233" s="1126"/>
      <c r="AP233" s="1142"/>
      <c r="AQ233" s="981"/>
      <c r="AR233" s="843"/>
      <c r="AS233" s="843"/>
      <c r="AT233" s="843"/>
      <c r="AU233" s="843"/>
      <c r="AV233" s="843"/>
      <c r="AW233" s="843"/>
      <c r="AX233" s="1143"/>
      <c r="AY233" s="1126"/>
      <c r="AZ233"/>
      <c r="BA233"/>
      <c r="BB233"/>
      <c r="BC233"/>
      <c r="BD233"/>
      <c r="BE233"/>
      <c r="BF233"/>
      <c r="BG233"/>
    </row>
    <row r="234" spans="1:59" ht="14.4">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71"/>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682"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1"/>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301</v>
      </c>
      <c r="S236" s="1153"/>
      <c r="T236" s="1070" t="s">
        <v>385</v>
      </c>
      <c r="U236" s="1153"/>
      <c r="V236" s="1070" t="s">
        <v>386</v>
      </c>
      <c r="W236" s="1153"/>
      <c r="X236" s="1070" t="s">
        <v>385</v>
      </c>
      <c r="Y236" s="1153"/>
      <c r="Z236" s="1070" t="s">
        <v>387</v>
      </c>
      <c r="AA236" s="1070" t="s">
        <v>209</v>
      </c>
      <c r="AB236" s="1070" t="str">
        <f>IF(S236&gt;=1,(W236*12+Y236)-(S236*12+U236)+1,"")</f>
        <v/>
      </c>
      <c r="AC236" s="1073" t="s">
        <v>388</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81" t="str">
        <f>IF(Q236="","",IF(Q236&lt;O236,"！加算の要件上は問題ありませんが、令和６年度末の加算率と比較して、令和７年度の加算率が低くなっています。",""))</f>
        <v/>
      </c>
      <c r="AN236" s="371"/>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4">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1"/>
      <c r="AO237" s="1126"/>
      <c r="AP237" s="1142"/>
      <c r="AQ237" s="981"/>
      <c r="AR237" s="843"/>
      <c r="AS237" s="843"/>
      <c r="AT237" s="843"/>
      <c r="AU237" s="843"/>
      <c r="AV237" s="843"/>
      <c r="AW237" s="843"/>
      <c r="AX237" s="1143"/>
      <c r="AY237" s="1126"/>
      <c r="AZ237"/>
      <c r="BA237"/>
      <c r="BB237"/>
      <c r="BC237"/>
      <c r="BD237"/>
      <c r="BE237"/>
      <c r="BF237"/>
      <c r="BG237"/>
    </row>
    <row r="238" spans="1:59" ht="14.4">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71"/>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682"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1"/>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301</v>
      </c>
      <c r="S240" s="1153"/>
      <c r="T240" s="1070" t="s">
        <v>385</v>
      </c>
      <c r="U240" s="1153"/>
      <c r="V240" s="1070" t="s">
        <v>386</v>
      </c>
      <c r="W240" s="1153"/>
      <c r="X240" s="1070" t="s">
        <v>385</v>
      </c>
      <c r="Y240" s="1153"/>
      <c r="Z240" s="1070" t="s">
        <v>387</v>
      </c>
      <c r="AA240" s="1070" t="s">
        <v>209</v>
      </c>
      <c r="AB240" s="1070" t="str">
        <f>IF(S240&gt;=1,(W240*12+Y240)-(S240*12+U240)+1,"")</f>
        <v/>
      </c>
      <c r="AC240" s="1073" t="s">
        <v>388</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81" t="str">
        <f>IF(Q240="","",IF(Q240&lt;O240,"！加算の要件上は問題ありませんが、令和６年度末の加算率と比較して、令和７年度の加算率が低くなっています。",""))</f>
        <v/>
      </c>
      <c r="AN240" s="371"/>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4">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1"/>
      <c r="AO241" s="1126"/>
      <c r="AP241" s="1142"/>
      <c r="AQ241" s="981"/>
      <c r="AR241" s="843"/>
      <c r="AS241" s="843"/>
      <c r="AT241" s="843"/>
      <c r="AU241" s="843"/>
      <c r="AV241" s="843"/>
      <c r="AW241" s="843"/>
      <c r="AX241" s="1143"/>
      <c r="AY241" s="1126"/>
      <c r="AZ241"/>
      <c r="BA241"/>
      <c r="BB241"/>
      <c r="BC241"/>
      <c r="BD241"/>
      <c r="BE241"/>
      <c r="BF241"/>
      <c r="BG241"/>
    </row>
    <row r="242" spans="1:59" ht="14.4">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71"/>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682"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1"/>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301</v>
      </c>
      <c r="S244" s="1153"/>
      <c r="T244" s="1070" t="s">
        <v>385</v>
      </c>
      <c r="U244" s="1153"/>
      <c r="V244" s="1070" t="s">
        <v>386</v>
      </c>
      <c r="W244" s="1153"/>
      <c r="X244" s="1070" t="s">
        <v>385</v>
      </c>
      <c r="Y244" s="1153"/>
      <c r="Z244" s="1070" t="s">
        <v>387</v>
      </c>
      <c r="AA244" s="1070" t="s">
        <v>209</v>
      </c>
      <c r="AB244" s="1070" t="str">
        <f>IF(S244&gt;=1,(W244*12+Y244)-(S244*12+U244)+1,"")</f>
        <v/>
      </c>
      <c r="AC244" s="1073" t="s">
        <v>388</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81" t="str">
        <f>IF(Q244="","",IF(Q244&lt;O244,"！加算の要件上は問題ありませんが、令和６年度末の加算率と比較して、令和７年度の加算率が低くなっています。",""))</f>
        <v/>
      </c>
      <c r="AN244" s="371"/>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4">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1"/>
      <c r="AO245" s="1126"/>
      <c r="AP245" s="1142"/>
      <c r="AQ245" s="981"/>
      <c r="AR245" s="843"/>
      <c r="AS245" s="843"/>
      <c r="AT245" s="843"/>
      <c r="AU245" s="843"/>
      <c r="AV245" s="843"/>
      <c r="AW245" s="843"/>
      <c r="AX245" s="1143"/>
      <c r="AY245" s="1126"/>
      <c r="AZ245"/>
      <c r="BA245"/>
      <c r="BB245"/>
      <c r="BC245"/>
      <c r="BD245"/>
      <c r="BE245"/>
      <c r="BF245"/>
      <c r="BG245"/>
    </row>
    <row r="246" spans="1:59" ht="14.4">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71"/>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682"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1"/>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301</v>
      </c>
      <c r="S248" s="1153"/>
      <c r="T248" s="1070" t="s">
        <v>385</v>
      </c>
      <c r="U248" s="1153"/>
      <c r="V248" s="1070" t="s">
        <v>386</v>
      </c>
      <c r="W248" s="1153"/>
      <c r="X248" s="1070" t="s">
        <v>385</v>
      </c>
      <c r="Y248" s="1153"/>
      <c r="Z248" s="1070" t="s">
        <v>387</v>
      </c>
      <c r="AA248" s="1070" t="s">
        <v>209</v>
      </c>
      <c r="AB248" s="1070" t="str">
        <f>IF(S248&gt;=1,(W248*12+Y248)-(S248*12+U248)+1,"")</f>
        <v/>
      </c>
      <c r="AC248" s="1073" t="s">
        <v>388</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81" t="str">
        <f>IF(Q248="","",IF(Q248&lt;O248,"！加算の要件上は問題ありませんが、令和６年度末の加算率と比較して、令和７年度の加算率が低くなっています。",""))</f>
        <v/>
      </c>
      <c r="AN248" s="371"/>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4">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1"/>
      <c r="AO249" s="1126"/>
      <c r="AP249" s="1142"/>
      <c r="AQ249" s="981"/>
      <c r="AR249" s="843"/>
      <c r="AS249" s="843"/>
      <c r="AT249" s="843"/>
      <c r="AU249" s="843"/>
      <c r="AV249" s="843"/>
      <c r="AW249" s="843"/>
      <c r="AX249" s="1143"/>
      <c r="AY249" s="1126"/>
      <c r="AZ249"/>
      <c r="BA249"/>
      <c r="BB249"/>
      <c r="BC249"/>
      <c r="BD249"/>
      <c r="BE249"/>
      <c r="BF249"/>
      <c r="BG249"/>
    </row>
    <row r="250" spans="1:59" ht="14.4">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71"/>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682"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1"/>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301</v>
      </c>
      <c r="S252" s="1153"/>
      <c r="T252" s="1070" t="s">
        <v>385</v>
      </c>
      <c r="U252" s="1153"/>
      <c r="V252" s="1070" t="s">
        <v>386</v>
      </c>
      <c r="W252" s="1153"/>
      <c r="X252" s="1070" t="s">
        <v>385</v>
      </c>
      <c r="Y252" s="1153"/>
      <c r="Z252" s="1070" t="s">
        <v>387</v>
      </c>
      <c r="AA252" s="1070" t="s">
        <v>209</v>
      </c>
      <c r="AB252" s="1070" t="str">
        <f>IF(S252&gt;=1,(W252*12+Y252)-(S252*12+U252)+1,"")</f>
        <v/>
      </c>
      <c r="AC252" s="1073" t="s">
        <v>388</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81" t="str">
        <f>IF(Q252="","",IF(Q252&lt;O252,"！加算の要件上は問題ありませんが、令和６年度末の加算率と比較して、令和７年度の加算率が低くなっています。",""))</f>
        <v/>
      </c>
      <c r="AN252" s="371"/>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4">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1"/>
      <c r="AO253" s="1126"/>
      <c r="AP253" s="1142"/>
      <c r="AQ253" s="981"/>
      <c r="AR253" s="843"/>
      <c r="AS253" s="843"/>
      <c r="AT253" s="843"/>
      <c r="AU253" s="843"/>
      <c r="AV253" s="843"/>
      <c r="AW253" s="843"/>
      <c r="AX253" s="1143"/>
      <c r="AY253" s="1126"/>
      <c r="AZ253"/>
      <c r="BA253"/>
      <c r="BB253"/>
      <c r="BC253"/>
      <c r="BD253"/>
      <c r="BE253"/>
      <c r="BF253"/>
      <c r="BG253"/>
    </row>
    <row r="254" spans="1:59" ht="14.4">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71"/>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682"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1"/>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301</v>
      </c>
      <c r="S256" s="1153"/>
      <c r="T256" s="1070" t="s">
        <v>385</v>
      </c>
      <c r="U256" s="1153"/>
      <c r="V256" s="1070" t="s">
        <v>386</v>
      </c>
      <c r="W256" s="1153"/>
      <c r="X256" s="1070" t="s">
        <v>385</v>
      </c>
      <c r="Y256" s="1153"/>
      <c r="Z256" s="1070" t="s">
        <v>387</v>
      </c>
      <c r="AA256" s="1070" t="s">
        <v>209</v>
      </c>
      <c r="AB256" s="1070" t="str">
        <f>IF(S256&gt;=1,(W256*12+Y256)-(S256*12+U256)+1,"")</f>
        <v/>
      </c>
      <c r="AC256" s="1073" t="s">
        <v>388</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81" t="str">
        <f>IF(Q256="","",IF(Q256&lt;O256,"！加算の要件上は問題ありませんが、令和６年度末の加算率と比較して、令和７年度の加算率が低くなっています。",""))</f>
        <v/>
      </c>
      <c r="AN256" s="371"/>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4">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1"/>
      <c r="AO257" s="1126"/>
      <c r="AP257" s="1142"/>
      <c r="AQ257" s="981"/>
      <c r="AR257" s="843"/>
      <c r="AS257" s="843"/>
      <c r="AT257" s="843"/>
      <c r="AU257" s="843"/>
      <c r="AV257" s="843"/>
      <c r="AW257" s="843"/>
      <c r="AX257" s="1143"/>
      <c r="AY257" s="1126"/>
      <c r="AZ257"/>
      <c r="BA257"/>
      <c r="BB257"/>
      <c r="BC257"/>
      <c r="BD257"/>
      <c r="BE257"/>
      <c r="BF257"/>
      <c r="BG257"/>
    </row>
    <row r="258" spans="1:59" ht="14.4">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71"/>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682"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1"/>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301</v>
      </c>
      <c r="S260" s="1153"/>
      <c r="T260" s="1070" t="s">
        <v>385</v>
      </c>
      <c r="U260" s="1153"/>
      <c r="V260" s="1070" t="s">
        <v>386</v>
      </c>
      <c r="W260" s="1153"/>
      <c r="X260" s="1070" t="s">
        <v>385</v>
      </c>
      <c r="Y260" s="1153"/>
      <c r="Z260" s="1070" t="s">
        <v>387</v>
      </c>
      <c r="AA260" s="1070" t="s">
        <v>209</v>
      </c>
      <c r="AB260" s="1070" t="str">
        <f>IF(S260&gt;=1,(W260*12+Y260)-(S260*12+U260)+1,"")</f>
        <v/>
      </c>
      <c r="AC260" s="1073" t="s">
        <v>388</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81" t="str">
        <f>IF(Q260="","",IF(Q260&lt;O260,"！加算の要件上は問題ありませんが、令和６年度末の加算率と比較して、令和７年度の加算率が低くなっています。",""))</f>
        <v/>
      </c>
      <c r="AN260" s="371"/>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4">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1"/>
      <c r="AO261" s="1126"/>
      <c r="AP261" s="1142"/>
      <c r="AQ261" s="981"/>
      <c r="AR261" s="843"/>
      <c r="AS261" s="843"/>
      <c r="AT261" s="843"/>
      <c r="AU261" s="843"/>
      <c r="AV261" s="843"/>
      <c r="AW261" s="843"/>
      <c r="AX261" s="1143"/>
      <c r="AY261" s="1126"/>
      <c r="AZ261"/>
      <c r="BA261"/>
      <c r="BB261"/>
      <c r="BC261"/>
      <c r="BD261"/>
      <c r="BE261"/>
      <c r="BF261"/>
      <c r="BG261"/>
    </row>
    <row r="262" spans="1:59" ht="14.4">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71"/>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682"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1"/>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301</v>
      </c>
      <c r="S264" s="1153"/>
      <c r="T264" s="1070" t="s">
        <v>385</v>
      </c>
      <c r="U264" s="1153"/>
      <c r="V264" s="1070" t="s">
        <v>386</v>
      </c>
      <c r="W264" s="1153"/>
      <c r="X264" s="1070" t="s">
        <v>385</v>
      </c>
      <c r="Y264" s="1153"/>
      <c r="Z264" s="1070" t="s">
        <v>387</v>
      </c>
      <c r="AA264" s="1070" t="s">
        <v>209</v>
      </c>
      <c r="AB264" s="1070" t="str">
        <f>IF(S264&gt;=1,(W264*12+Y264)-(S264*12+U264)+1,"")</f>
        <v/>
      </c>
      <c r="AC264" s="1073" t="s">
        <v>388</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81" t="str">
        <f>IF(Q264="","",IF(Q264&lt;O264,"！加算の要件上は問題ありませんが、令和６年度末の加算率と比較して、令和７年度の加算率が低くなっています。",""))</f>
        <v/>
      </c>
      <c r="AN264" s="371"/>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4">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1"/>
      <c r="AO265" s="1126"/>
      <c r="AP265" s="1142"/>
      <c r="AQ265" s="981"/>
      <c r="AR265" s="843"/>
      <c r="AS265" s="843"/>
      <c r="AT265" s="843"/>
      <c r="AU265" s="843"/>
      <c r="AV265" s="843"/>
      <c r="AW265" s="843"/>
      <c r="AX265" s="1143"/>
      <c r="AY265" s="1126"/>
      <c r="AZ265"/>
      <c r="BA265"/>
      <c r="BB265"/>
      <c r="BC265"/>
      <c r="BD265"/>
      <c r="BE265"/>
      <c r="BF265"/>
      <c r="BG265"/>
    </row>
    <row r="266" spans="1:59" ht="14.4">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71"/>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682"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1"/>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301</v>
      </c>
      <c r="S268" s="1153"/>
      <c r="T268" s="1070" t="s">
        <v>385</v>
      </c>
      <c r="U268" s="1153"/>
      <c r="V268" s="1070" t="s">
        <v>386</v>
      </c>
      <c r="W268" s="1153"/>
      <c r="X268" s="1070" t="s">
        <v>385</v>
      </c>
      <c r="Y268" s="1153"/>
      <c r="Z268" s="1070" t="s">
        <v>387</v>
      </c>
      <c r="AA268" s="1070" t="s">
        <v>209</v>
      </c>
      <c r="AB268" s="1070" t="str">
        <f>IF(S268&gt;=1,(W268*12+Y268)-(S268*12+U268)+1,"")</f>
        <v/>
      </c>
      <c r="AC268" s="1073" t="s">
        <v>388</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81" t="str">
        <f>IF(Q268="","",IF(Q268&lt;O268,"！加算の要件上は問題ありませんが、令和６年度末の加算率と比較して、令和７年度の加算率が低くなっています。",""))</f>
        <v/>
      </c>
      <c r="AN268" s="371"/>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4">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1"/>
      <c r="AO269" s="1126"/>
      <c r="AP269" s="1142"/>
      <c r="AQ269" s="981"/>
      <c r="AR269" s="843"/>
      <c r="AS269" s="843"/>
      <c r="AT269" s="843"/>
      <c r="AU269" s="843"/>
      <c r="AV269" s="843"/>
      <c r="AW269" s="843"/>
      <c r="AX269" s="1143"/>
      <c r="AY269" s="1126"/>
      <c r="AZ269"/>
      <c r="BA269"/>
      <c r="BB269"/>
      <c r="BC269"/>
      <c r="BD269"/>
      <c r="BE269"/>
      <c r="BF269"/>
      <c r="BG269"/>
    </row>
    <row r="270" spans="1:59" ht="14.4">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71"/>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682"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1"/>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301</v>
      </c>
      <c r="S272" s="1153"/>
      <c r="T272" s="1070" t="s">
        <v>385</v>
      </c>
      <c r="U272" s="1153"/>
      <c r="V272" s="1070" t="s">
        <v>386</v>
      </c>
      <c r="W272" s="1153"/>
      <c r="X272" s="1070" t="s">
        <v>385</v>
      </c>
      <c r="Y272" s="1153"/>
      <c r="Z272" s="1070" t="s">
        <v>387</v>
      </c>
      <c r="AA272" s="1070" t="s">
        <v>209</v>
      </c>
      <c r="AB272" s="1070" t="str">
        <f>IF(S272&gt;=1,(W272*12+Y272)-(S272*12+U272)+1,"")</f>
        <v/>
      </c>
      <c r="AC272" s="1073" t="s">
        <v>388</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81" t="str">
        <f>IF(Q272="","",IF(Q272&lt;O272,"！加算の要件上は問題ありませんが、令和６年度末の加算率と比較して、令和７年度の加算率が低くなっています。",""))</f>
        <v/>
      </c>
      <c r="AN272" s="371"/>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4">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1"/>
      <c r="AO273" s="1126"/>
      <c r="AP273" s="1142"/>
      <c r="AQ273" s="981"/>
      <c r="AR273" s="843"/>
      <c r="AS273" s="843"/>
      <c r="AT273" s="843"/>
      <c r="AU273" s="843"/>
      <c r="AV273" s="843"/>
      <c r="AW273" s="843"/>
      <c r="AX273" s="1143"/>
      <c r="AY273" s="1126"/>
      <c r="AZ273"/>
      <c r="BA273"/>
      <c r="BB273"/>
      <c r="BC273"/>
      <c r="BD273"/>
      <c r="BE273"/>
      <c r="BF273"/>
      <c r="BG273"/>
    </row>
    <row r="274" spans="1:59" ht="14.4">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71"/>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682"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1"/>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301</v>
      </c>
      <c r="S276" s="1153"/>
      <c r="T276" s="1070" t="s">
        <v>385</v>
      </c>
      <c r="U276" s="1153"/>
      <c r="V276" s="1070" t="s">
        <v>386</v>
      </c>
      <c r="W276" s="1153"/>
      <c r="X276" s="1070" t="s">
        <v>385</v>
      </c>
      <c r="Y276" s="1153"/>
      <c r="Z276" s="1070" t="s">
        <v>387</v>
      </c>
      <c r="AA276" s="1070" t="s">
        <v>209</v>
      </c>
      <c r="AB276" s="1070" t="str">
        <f>IF(S276&gt;=1,(W276*12+Y276)-(S276*12+U276)+1,"")</f>
        <v/>
      </c>
      <c r="AC276" s="1073" t="s">
        <v>388</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81" t="str">
        <f>IF(Q276="","",IF(Q276&lt;O276,"！加算の要件上は問題ありませんが、令和６年度末の加算率と比較して、令和７年度の加算率が低くなっています。",""))</f>
        <v/>
      </c>
      <c r="AN276" s="371"/>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4">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1"/>
      <c r="AO277" s="1126"/>
      <c r="AP277" s="1142"/>
      <c r="AQ277" s="981"/>
      <c r="AR277" s="843"/>
      <c r="AS277" s="843"/>
      <c r="AT277" s="843"/>
      <c r="AU277" s="843"/>
      <c r="AV277" s="843"/>
      <c r="AW277" s="843"/>
      <c r="AX277" s="1143"/>
      <c r="AY277" s="1126"/>
      <c r="AZ277"/>
      <c r="BA277"/>
      <c r="BB277"/>
      <c r="BC277"/>
      <c r="BD277"/>
      <c r="BE277"/>
      <c r="BF277"/>
      <c r="BG277"/>
    </row>
    <row r="278" spans="1:59" ht="14.4">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71"/>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682"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1"/>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301</v>
      </c>
      <c r="S280" s="1153"/>
      <c r="T280" s="1070" t="s">
        <v>385</v>
      </c>
      <c r="U280" s="1153"/>
      <c r="V280" s="1070" t="s">
        <v>386</v>
      </c>
      <c r="W280" s="1153"/>
      <c r="X280" s="1070" t="s">
        <v>385</v>
      </c>
      <c r="Y280" s="1153"/>
      <c r="Z280" s="1070" t="s">
        <v>387</v>
      </c>
      <c r="AA280" s="1070" t="s">
        <v>209</v>
      </c>
      <c r="AB280" s="1070" t="str">
        <f>IF(S280&gt;=1,(W280*12+Y280)-(S280*12+U280)+1,"")</f>
        <v/>
      </c>
      <c r="AC280" s="1073" t="s">
        <v>388</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81" t="str">
        <f>IF(Q280="","",IF(Q280&lt;O280,"！加算の要件上は問題ありませんが、令和６年度末の加算率と比較して、令和７年度の加算率が低くなっています。",""))</f>
        <v/>
      </c>
      <c r="AN280" s="371"/>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4">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1"/>
      <c r="AO281" s="1126"/>
      <c r="AP281" s="1142"/>
      <c r="AQ281" s="981"/>
      <c r="AR281" s="843"/>
      <c r="AS281" s="843"/>
      <c r="AT281" s="843"/>
      <c r="AU281" s="843"/>
      <c r="AV281" s="843"/>
      <c r="AW281" s="843"/>
      <c r="AX281" s="1143"/>
      <c r="AY281" s="1126"/>
      <c r="AZ281"/>
      <c r="BA281"/>
      <c r="BB281"/>
      <c r="BC281"/>
      <c r="BD281"/>
      <c r="BE281"/>
      <c r="BF281"/>
      <c r="BG281"/>
    </row>
    <row r="282" spans="1:59" ht="14.4">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71"/>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682"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1"/>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301</v>
      </c>
      <c r="S284" s="1153"/>
      <c r="T284" s="1070" t="s">
        <v>385</v>
      </c>
      <c r="U284" s="1153"/>
      <c r="V284" s="1070" t="s">
        <v>386</v>
      </c>
      <c r="W284" s="1153"/>
      <c r="X284" s="1070" t="s">
        <v>385</v>
      </c>
      <c r="Y284" s="1153"/>
      <c r="Z284" s="1070" t="s">
        <v>387</v>
      </c>
      <c r="AA284" s="1070" t="s">
        <v>209</v>
      </c>
      <c r="AB284" s="1070" t="str">
        <f>IF(S284&gt;=1,(W284*12+Y284)-(S284*12+U284)+1,"")</f>
        <v/>
      </c>
      <c r="AC284" s="1073" t="s">
        <v>388</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81" t="str">
        <f>IF(Q284="","",IF(Q284&lt;O284,"！加算の要件上は問題ありませんが、令和６年度末の加算率と比較して、令和７年度の加算率が低くなっています。",""))</f>
        <v/>
      </c>
      <c r="AN284" s="371"/>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4">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1"/>
      <c r="AO285" s="1126"/>
      <c r="AP285" s="1142"/>
      <c r="AQ285" s="981"/>
      <c r="AR285" s="843"/>
      <c r="AS285" s="843"/>
      <c r="AT285" s="843"/>
      <c r="AU285" s="843"/>
      <c r="AV285" s="843"/>
      <c r="AW285" s="843"/>
      <c r="AX285" s="1143"/>
      <c r="AY285" s="1126"/>
      <c r="AZ285"/>
      <c r="BA285"/>
      <c r="BB285"/>
      <c r="BC285"/>
      <c r="BD285"/>
      <c r="BE285"/>
      <c r="BF285"/>
      <c r="BG285"/>
    </row>
    <row r="286" spans="1:59" ht="14.4">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71"/>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682"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1"/>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301</v>
      </c>
      <c r="S288" s="1153"/>
      <c r="T288" s="1070" t="s">
        <v>385</v>
      </c>
      <c r="U288" s="1153"/>
      <c r="V288" s="1070" t="s">
        <v>386</v>
      </c>
      <c r="W288" s="1153"/>
      <c r="X288" s="1070" t="s">
        <v>385</v>
      </c>
      <c r="Y288" s="1153"/>
      <c r="Z288" s="1070" t="s">
        <v>387</v>
      </c>
      <c r="AA288" s="1070" t="s">
        <v>209</v>
      </c>
      <c r="AB288" s="1070" t="str">
        <f>IF(S288&gt;=1,(W288*12+Y288)-(S288*12+U288)+1,"")</f>
        <v/>
      </c>
      <c r="AC288" s="1073" t="s">
        <v>388</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81" t="str">
        <f>IF(Q288="","",IF(Q288&lt;O288,"！加算の要件上は問題ありませんが、令和６年度末の加算率と比較して、令和７年度の加算率が低くなっています。",""))</f>
        <v/>
      </c>
      <c r="AN288" s="371"/>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4">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1"/>
      <c r="AO289" s="1126"/>
      <c r="AP289" s="1142"/>
      <c r="AQ289" s="981"/>
      <c r="AR289" s="843"/>
      <c r="AS289" s="843"/>
      <c r="AT289" s="843"/>
      <c r="AU289" s="843"/>
      <c r="AV289" s="843"/>
      <c r="AW289" s="843"/>
      <c r="AX289" s="1143"/>
      <c r="AY289" s="1126"/>
      <c r="AZ289"/>
      <c r="BA289"/>
      <c r="BB289"/>
      <c r="BC289"/>
      <c r="BD289"/>
      <c r="BE289"/>
      <c r="BF289"/>
      <c r="BG289"/>
    </row>
    <row r="290" spans="1:59" ht="14.4">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71"/>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682"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1"/>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301</v>
      </c>
      <c r="S292" s="1153"/>
      <c r="T292" s="1070" t="s">
        <v>385</v>
      </c>
      <c r="U292" s="1153"/>
      <c r="V292" s="1070" t="s">
        <v>386</v>
      </c>
      <c r="W292" s="1153"/>
      <c r="X292" s="1070" t="s">
        <v>385</v>
      </c>
      <c r="Y292" s="1153"/>
      <c r="Z292" s="1070" t="s">
        <v>387</v>
      </c>
      <c r="AA292" s="1070" t="s">
        <v>209</v>
      </c>
      <c r="AB292" s="1070" t="str">
        <f>IF(S292&gt;=1,(W292*12+Y292)-(S292*12+U292)+1,"")</f>
        <v/>
      </c>
      <c r="AC292" s="1073" t="s">
        <v>388</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81" t="str">
        <f>IF(Q292="","",IF(Q292&lt;O292,"！加算の要件上は問題ありませんが、令和６年度末の加算率と比較して、令和７年度の加算率が低くなっています。",""))</f>
        <v/>
      </c>
      <c r="AN292" s="371"/>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4">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1"/>
      <c r="AO293" s="1126"/>
      <c r="AP293" s="1142"/>
      <c r="AQ293" s="981"/>
      <c r="AR293" s="843"/>
      <c r="AS293" s="843"/>
      <c r="AT293" s="843"/>
      <c r="AU293" s="843"/>
      <c r="AV293" s="843"/>
      <c r="AW293" s="843"/>
      <c r="AX293" s="1143"/>
      <c r="AY293" s="1126"/>
      <c r="AZ293"/>
      <c r="BA293"/>
      <c r="BB293"/>
      <c r="BC293"/>
      <c r="BD293"/>
      <c r="BE293"/>
      <c r="BF293"/>
      <c r="BG293"/>
    </row>
    <row r="294" spans="1:59" ht="14.4">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71"/>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682"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1"/>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301</v>
      </c>
      <c r="S296" s="1153"/>
      <c r="T296" s="1070" t="s">
        <v>385</v>
      </c>
      <c r="U296" s="1153"/>
      <c r="V296" s="1070" t="s">
        <v>386</v>
      </c>
      <c r="W296" s="1153"/>
      <c r="X296" s="1070" t="s">
        <v>385</v>
      </c>
      <c r="Y296" s="1153"/>
      <c r="Z296" s="1070" t="s">
        <v>387</v>
      </c>
      <c r="AA296" s="1070" t="s">
        <v>209</v>
      </c>
      <c r="AB296" s="1070" t="str">
        <f>IF(S296&gt;=1,(W296*12+Y296)-(S296*12+U296)+1,"")</f>
        <v/>
      </c>
      <c r="AC296" s="1073" t="s">
        <v>388</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81" t="str">
        <f>IF(Q296="","",IF(Q296&lt;O296,"！加算の要件上は問題ありませんが、令和６年度末の加算率と比較して、令和７年度の加算率が低くなっています。",""))</f>
        <v/>
      </c>
      <c r="AN296" s="371"/>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4">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1"/>
      <c r="AO297" s="1126"/>
      <c r="AP297" s="1142"/>
      <c r="AQ297" s="981"/>
      <c r="AR297" s="843"/>
      <c r="AS297" s="843"/>
      <c r="AT297" s="843"/>
      <c r="AU297" s="843"/>
      <c r="AV297" s="843"/>
      <c r="AW297" s="843"/>
      <c r="AX297" s="1143"/>
      <c r="AY297" s="1126"/>
      <c r="AZ297"/>
      <c r="BA297"/>
      <c r="BB297"/>
      <c r="BC297"/>
      <c r="BD297"/>
      <c r="BE297"/>
      <c r="BF297"/>
      <c r="BG297"/>
    </row>
    <row r="298" spans="1:59" ht="14.4">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71"/>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682"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1"/>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301</v>
      </c>
      <c r="S300" s="1153"/>
      <c r="T300" s="1070" t="s">
        <v>385</v>
      </c>
      <c r="U300" s="1153"/>
      <c r="V300" s="1070" t="s">
        <v>386</v>
      </c>
      <c r="W300" s="1153"/>
      <c r="X300" s="1070" t="s">
        <v>385</v>
      </c>
      <c r="Y300" s="1153"/>
      <c r="Z300" s="1070" t="s">
        <v>387</v>
      </c>
      <c r="AA300" s="1070" t="s">
        <v>209</v>
      </c>
      <c r="AB300" s="1070" t="str">
        <f>IF(S300&gt;=1,(W300*12+Y300)-(S300*12+U300)+1,"")</f>
        <v/>
      </c>
      <c r="AC300" s="1073" t="s">
        <v>388</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81" t="str">
        <f>IF(Q300="","",IF(Q300&lt;O300,"！加算の要件上は問題ありませんが、令和６年度末の加算率と比較して、令和７年度の加算率が低くなっています。",""))</f>
        <v/>
      </c>
      <c r="AN300" s="371"/>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4">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1"/>
      <c r="AO301" s="1126"/>
      <c r="AP301" s="1142"/>
      <c r="AQ301" s="981"/>
      <c r="AR301" s="843"/>
      <c r="AS301" s="843"/>
      <c r="AT301" s="843"/>
      <c r="AU301" s="843"/>
      <c r="AV301" s="843"/>
      <c r="AW301" s="843"/>
      <c r="AX301" s="1143"/>
      <c r="AY301" s="1126"/>
      <c r="AZ301"/>
      <c r="BA301"/>
      <c r="BB301"/>
      <c r="BC301"/>
      <c r="BD301"/>
      <c r="BE301"/>
      <c r="BF301"/>
      <c r="BG301"/>
    </row>
    <row r="302" spans="1:59" ht="14.4">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71"/>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682"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1"/>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301</v>
      </c>
      <c r="S304" s="1153"/>
      <c r="T304" s="1070" t="s">
        <v>385</v>
      </c>
      <c r="U304" s="1153"/>
      <c r="V304" s="1070" t="s">
        <v>386</v>
      </c>
      <c r="W304" s="1153"/>
      <c r="X304" s="1070" t="s">
        <v>385</v>
      </c>
      <c r="Y304" s="1153"/>
      <c r="Z304" s="1070" t="s">
        <v>387</v>
      </c>
      <c r="AA304" s="1070" t="s">
        <v>209</v>
      </c>
      <c r="AB304" s="1070" t="str">
        <f>IF(S304&gt;=1,(W304*12+Y304)-(S304*12+U304)+1,"")</f>
        <v/>
      </c>
      <c r="AC304" s="1073" t="s">
        <v>388</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81" t="str">
        <f>IF(Q304="","",IF(Q304&lt;O304,"！加算の要件上は問題ありませんが、令和６年度末の加算率と比較して、令和７年度の加算率が低くなっています。",""))</f>
        <v/>
      </c>
      <c r="AN304" s="371"/>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4">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1"/>
      <c r="AO305" s="1126"/>
      <c r="AP305" s="1142"/>
      <c r="AQ305" s="981"/>
      <c r="AR305" s="843"/>
      <c r="AS305" s="843"/>
      <c r="AT305" s="843"/>
      <c r="AU305" s="843"/>
      <c r="AV305" s="843"/>
      <c r="AW305" s="843"/>
      <c r="AX305" s="1143"/>
      <c r="AY305" s="1126"/>
      <c r="AZ305"/>
      <c r="BA305"/>
      <c r="BB305"/>
      <c r="BC305"/>
      <c r="BD305"/>
      <c r="BE305"/>
      <c r="BF305"/>
      <c r="BG305"/>
    </row>
    <row r="306" spans="1:59" ht="14.4">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71"/>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682"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1"/>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301</v>
      </c>
      <c r="S308" s="1153"/>
      <c r="T308" s="1070" t="s">
        <v>385</v>
      </c>
      <c r="U308" s="1153"/>
      <c r="V308" s="1070" t="s">
        <v>386</v>
      </c>
      <c r="W308" s="1153"/>
      <c r="X308" s="1070" t="s">
        <v>385</v>
      </c>
      <c r="Y308" s="1153"/>
      <c r="Z308" s="1070" t="s">
        <v>387</v>
      </c>
      <c r="AA308" s="1070" t="s">
        <v>209</v>
      </c>
      <c r="AB308" s="1070" t="str">
        <f>IF(S308&gt;=1,(W308*12+Y308)-(S308*12+U308)+1,"")</f>
        <v/>
      </c>
      <c r="AC308" s="1073" t="s">
        <v>388</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81" t="str">
        <f>IF(Q308="","",IF(Q308&lt;O308,"！加算の要件上は問題ありませんが、令和６年度末の加算率と比較して、令和７年度の加算率が低くなっています。",""))</f>
        <v/>
      </c>
      <c r="AN308" s="371"/>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4">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1"/>
      <c r="AO309" s="1126"/>
      <c r="AP309" s="1142"/>
      <c r="AQ309" s="981"/>
      <c r="AR309" s="843"/>
      <c r="AS309" s="843"/>
      <c r="AT309" s="843"/>
      <c r="AU309" s="843"/>
      <c r="AV309" s="843"/>
      <c r="AW309" s="843"/>
      <c r="AX309" s="1143"/>
      <c r="AY309" s="1126"/>
      <c r="AZ309"/>
      <c r="BA309"/>
      <c r="BB309"/>
      <c r="BC309"/>
      <c r="BD309"/>
      <c r="BE309"/>
      <c r="BF309"/>
      <c r="BG309"/>
    </row>
    <row r="310" spans="1:59" ht="14.4">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71"/>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682"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1"/>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301</v>
      </c>
      <c r="S312" s="1153"/>
      <c r="T312" s="1070" t="s">
        <v>385</v>
      </c>
      <c r="U312" s="1153"/>
      <c r="V312" s="1070" t="s">
        <v>386</v>
      </c>
      <c r="W312" s="1153"/>
      <c r="X312" s="1070" t="s">
        <v>385</v>
      </c>
      <c r="Y312" s="1153"/>
      <c r="Z312" s="1070" t="s">
        <v>387</v>
      </c>
      <c r="AA312" s="1070" t="s">
        <v>209</v>
      </c>
      <c r="AB312" s="1070" t="str">
        <f>IF(S312&gt;=1,(W312*12+Y312)-(S312*12+U312)+1,"")</f>
        <v/>
      </c>
      <c r="AC312" s="1073" t="s">
        <v>388</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81" t="str">
        <f>IF(Q312="","",IF(Q312&lt;O312,"！加算の要件上は問題ありませんが、令和６年度末の加算率と比較して、令和７年度の加算率が低くなっています。",""))</f>
        <v/>
      </c>
      <c r="AN312" s="371"/>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4">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1"/>
      <c r="AO313" s="1126"/>
      <c r="AP313" s="1142"/>
      <c r="AQ313" s="981"/>
      <c r="AR313" s="843"/>
      <c r="AS313" s="843"/>
      <c r="AT313" s="843"/>
      <c r="AU313" s="843"/>
      <c r="AV313" s="843"/>
      <c r="AW313" s="843"/>
      <c r="AX313" s="1143"/>
      <c r="AY313" s="1126"/>
      <c r="AZ313"/>
      <c r="BA313"/>
      <c r="BB313"/>
      <c r="BC313"/>
      <c r="BD313"/>
      <c r="BE313"/>
      <c r="BF313"/>
      <c r="BG313"/>
    </row>
    <row r="314" spans="1:59" ht="14.4">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71"/>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682"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1"/>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301</v>
      </c>
      <c r="S316" s="1153"/>
      <c r="T316" s="1070" t="s">
        <v>385</v>
      </c>
      <c r="U316" s="1153"/>
      <c r="V316" s="1070" t="s">
        <v>386</v>
      </c>
      <c r="W316" s="1153"/>
      <c r="X316" s="1070" t="s">
        <v>385</v>
      </c>
      <c r="Y316" s="1153"/>
      <c r="Z316" s="1070" t="s">
        <v>387</v>
      </c>
      <c r="AA316" s="1070" t="s">
        <v>209</v>
      </c>
      <c r="AB316" s="1070" t="str">
        <f>IF(S316&gt;=1,(W316*12+Y316)-(S316*12+U316)+1,"")</f>
        <v/>
      </c>
      <c r="AC316" s="1073" t="s">
        <v>388</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81" t="str">
        <f>IF(Q316="","",IF(Q316&lt;O316,"！加算の要件上は問題ありませんが、令和６年度末の加算率と比較して、令和７年度の加算率が低くなっています。",""))</f>
        <v/>
      </c>
      <c r="AN316" s="371"/>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4">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1"/>
      <c r="AO317" s="1126"/>
      <c r="AP317" s="1142"/>
      <c r="AQ317" s="981"/>
      <c r="AR317" s="843"/>
      <c r="AS317" s="843"/>
      <c r="AT317" s="843"/>
      <c r="AU317" s="843"/>
      <c r="AV317" s="843"/>
      <c r="AW317" s="843"/>
      <c r="AX317" s="1143"/>
      <c r="AY317" s="1126"/>
      <c r="AZ317"/>
      <c r="BA317"/>
      <c r="BB317"/>
      <c r="BC317"/>
      <c r="BD317"/>
      <c r="BE317"/>
      <c r="BF317"/>
      <c r="BG317"/>
    </row>
    <row r="318" spans="1:59" ht="14.4">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71"/>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682"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1"/>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301</v>
      </c>
      <c r="S320" s="1153"/>
      <c r="T320" s="1070" t="s">
        <v>385</v>
      </c>
      <c r="U320" s="1153"/>
      <c r="V320" s="1070" t="s">
        <v>386</v>
      </c>
      <c r="W320" s="1153"/>
      <c r="X320" s="1070" t="s">
        <v>385</v>
      </c>
      <c r="Y320" s="1153"/>
      <c r="Z320" s="1070" t="s">
        <v>387</v>
      </c>
      <c r="AA320" s="1070" t="s">
        <v>209</v>
      </c>
      <c r="AB320" s="1070" t="str">
        <f>IF(S320&gt;=1,(W320*12+Y320)-(S320*12+U320)+1,"")</f>
        <v/>
      </c>
      <c r="AC320" s="1073" t="s">
        <v>388</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81" t="str">
        <f>IF(Q320="","",IF(Q320&lt;O320,"！加算の要件上は問題ありませんが、令和６年度末の加算率と比較して、令和７年度の加算率が低くなっています。",""))</f>
        <v/>
      </c>
      <c r="AN320" s="371"/>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4">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1"/>
      <c r="AO321" s="1126"/>
      <c r="AP321" s="1142"/>
      <c r="AQ321" s="981"/>
      <c r="AR321" s="843"/>
      <c r="AS321" s="843"/>
      <c r="AT321" s="843"/>
      <c r="AU321" s="843"/>
      <c r="AV321" s="843"/>
      <c r="AW321" s="843"/>
      <c r="AX321" s="1143"/>
      <c r="AY321" s="1126"/>
      <c r="AZ321"/>
      <c r="BA321"/>
      <c r="BB321"/>
      <c r="BC321"/>
      <c r="BD321"/>
      <c r="BE321"/>
      <c r="BF321"/>
      <c r="BG321"/>
    </row>
    <row r="322" spans="1:59" ht="14.4">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71"/>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682"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1"/>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301</v>
      </c>
      <c r="S324" s="1153"/>
      <c r="T324" s="1070" t="s">
        <v>385</v>
      </c>
      <c r="U324" s="1153"/>
      <c r="V324" s="1070" t="s">
        <v>386</v>
      </c>
      <c r="W324" s="1153"/>
      <c r="X324" s="1070" t="s">
        <v>385</v>
      </c>
      <c r="Y324" s="1153"/>
      <c r="Z324" s="1070" t="s">
        <v>387</v>
      </c>
      <c r="AA324" s="1070" t="s">
        <v>209</v>
      </c>
      <c r="AB324" s="1070" t="str">
        <f>IF(S324&gt;=1,(W324*12+Y324)-(S324*12+U324)+1,"")</f>
        <v/>
      </c>
      <c r="AC324" s="1073" t="s">
        <v>388</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81" t="str">
        <f>IF(Q324="","",IF(Q324&lt;O324,"！加算の要件上は問題ありませんが、令和６年度末の加算率と比較して、令和７年度の加算率が低くなっています。",""))</f>
        <v/>
      </c>
      <c r="AN324" s="371"/>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4">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1"/>
      <c r="AO325" s="1126"/>
      <c r="AP325" s="1142"/>
      <c r="AQ325" s="981"/>
      <c r="AR325" s="843"/>
      <c r="AS325" s="843"/>
      <c r="AT325" s="843"/>
      <c r="AU325" s="843"/>
      <c r="AV325" s="843"/>
      <c r="AW325" s="843"/>
      <c r="AX325" s="1143"/>
      <c r="AY325" s="1126"/>
      <c r="AZ325"/>
      <c r="BA325"/>
      <c r="BB325"/>
      <c r="BC325"/>
      <c r="BD325"/>
      <c r="BE325"/>
      <c r="BF325"/>
      <c r="BG325"/>
    </row>
    <row r="326" spans="1:59" ht="14.4">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71"/>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682"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1"/>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301</v>
      </c>
      <c r="S328" s="1153"/>
      <c r="T328" s="1070" t="s">
        <v>385</v>
      </c>
      <c r="U328" s="1153"/>
      <c r="V328" s="1070" t="s">
        <v>386</v>
      </c>
      <c r="W328" s="1153"/>
      <c r="X328" s="1070" t="s">
        <v>385</v>
      </c>
      <c r="Y328" s="1153"/>
      <c r="Z328" s="1070" t="s">
        <v>387</v>
      </c>
      <c r="AA328" s="1070" t="s">
        <v>209</v>
      </c>
      <c r="AB328" s="1070" t="str">
        <f>IF(S328&gt;=1,(W328*12+Y328)-(S328*12+U328)+1,"")</f>
        <v/>
      </c>
      <c r="AC328" s="1073" t="s">
        <v>388</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81" t="str">
        <f>IF(Q328="","",IF(Q328&lt;O328,"！加算の要件上は問題ありませんが、令和６年度末の加算率と比較して、令和７年度の加算率が低くなっています。",""))</f>
        <v/>
      </c>
      <c r="AN328" s="371"/>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4">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1"/>
      <c r="AO329" s="1126"/>
      <c r="AP329" s="1142"/>
      <c r="AQ329" s="981"/>
      <c r="AR329" s="843"/>
      <c r="AS329" s="843"/>
      <c r="AT329" s="843"/>
      <c r="AU329" s="843"/>
      <c r="AV329" s="843"/>
      <c r="AW329" s="843"/>
      <c r="AX329" s="1143"/>
      <c r="AY329" s="1126"/>
      <c r="AZ329"/>
      <c r="BA329"/>
      <c r="BB329"/>
      <c r="BC329"/>
      <c r="BD329"/>
      <c r="BE329"/>
      <c r="BF329"/>
      <c r="BG329"/>
    </row>
    <row r="330" spans="1:59" ht="14.4">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71"/>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682"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1"/>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301</v>
      </c>
      <c r="S332" s="1153"/>
      <c r="T332" s="1070" t="s">
        <v>385</v>
      </c>
      <c r="U332" s="1153"/>
      <c r="V332" s="1070" t="s">
        <v>386</v>
      </c>
      <c r="W332" s="1153"/>
      <c r="X332" s="1070" t="s">
        <v>385</v>
      </c>
      <c r="Y332" s="1153"/>
      <c r="Z332" s="1070" t="s">
        <v>387</v>
      </c>
      <c r="AA332" s="1070" t="s">
        <v>209</v>
      </c>
      <c r="AB332" s="1070" t="str">
        <f>IF(S332&gt;=1,(W332*12+Y332)-(S332*12+U332)+1,"")</f>
        <v/>
      </c>
      <c r="AC332" s="1073" t="s">
        <v>388</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81" t="str">
        <f>IF(Q332="","",IF(Q332&lt;O332,"！加算の要件上は問題ありませんが、令和６年度末の加算率と比較して、令和７年度の加算率が低くなっています。",""))</f>
        <v/>
      </c>
      <c r="AN332" s="371"/>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4">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1"/>
      <c r="AO333" s="1126"/>
      <c r="AP333" s="1142"/>
      <c r="AQ333" s="981"/>
      <c r="AR333" s="843"/>
      <c r="AS333" s="843"/>
      <c r="AT333" s="843"/>
      <c r="AU333" s="843"/>
      <c r="AV333" s="843"/>
      <c r="AW333" s="843"/>
      <c r="AX333" s="1143"/>
      <c r="AY333" s="1126"/>
      <c r="AZ333"/>
      <c r="BA333"/>
      <c r="BB333"/>
      <c r="BC333"/>
      <c r="BD333"/>
      <c r="BE333"/>
      <c r="BF333"/>
      <c r="BG333"/>
    </row>
    <row r="334" spans="1:59" ht="14.4">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71"/>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682"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1"/>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301</v>
      </c>
      <c r="S336" s="1153"/>
      <c r="T336" s="1070" t="s">
        <v>385</v>
      </c>
      <c r="U336" s="1153"/>
      <c r="V336" s="1070" t="s">
        <v>386</v>
      </c>
      <c r="W336" s="1153"/>
      <c r="X336" s="1070" t="s">
        <v>385</v>
      </c>
      <c r="Y336" s="1153"/>
      <c r="Z336" s="1070" t="s">
        <v>387</v>
      </c>
      <c r="AA336" s="1070" t="s">
        <v>209</v>
      </c>
      <c r="AB336" s="1070" t="str">
        <f>IF(S336&gt;=1,(W336*12+Y336)-(S336*12+U336)+1,"")</f>
        <v/>
      </c>
      <c r="AC336" s="1073" t="s">
        <v>388</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81" t="str">
        <f>IF(Q336="","",IF(Q336&lt;O336,"！加算の要件上は問題ありませんが、令和６年度末の加算率と比較して、令和７年度の加算率が低くなっています。",""))</f>
        <v/>
      </c>
      <c r="AN336" s="371"/>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4">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1"/>
      <c r="AO337" s="1126"/>
      <c r="AP337" s="1142"/>
      <c r="AQ337" s="981"/>
      <c r="AR337" s="843"/>
      <c r="AS337" s="843"/>
      <c r="AT337" s="843"/>
      <c r="AU337" s="843"/>
      <c r="AV337" s="843"/>
      <c r="AW337" s="843"/>
      <c r="AX337" s="1143"/>
      <c r="AY337" s="1126"/>
      <c r="AZ337"/>
      <c r="BA337"/>
      <c r="BB337"/>
      <c r="BC337"/>
      <c r="BD337"/>
      <c r="BE337"/>
      <c r="BF337"/>
      <c r="BG337"/>
    </row>
    <row r="338" spans="1:59" ht="14.4">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71"/>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682"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1"/>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301</v>
      </c>
      <c r="S340" s="1153"/>
      <c r="T340" s="1070" t="s">
        <v>385</v>
      </c>
      <c r="U340" s="1153"/>
      <c r="V340" s="1070" t="s">
        <v>386</v>
      </c>
      <c r="W340" s="1153"/>
      <c r="X340" s="1070" t="s">
        <v>385</v>
      </c>
      <c r="Y340" s="1153"/>
      <c r="Z340" s="1070" t="s">
        <v>387</v>
      </c>
      <c r="AA340" s="1070" t="s">
        <v>209</v>
      </c>
      <c r="AB340" s="1070" t="str">
        <f>IF(S340&gt;=1,(W340*12+Y340)-(S340*12+U340)+1,"")</f>
        <v/>
      </c>
      <c r="AC340" s="1073" t="s">
        <v>388</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81" t="str">
        <f>IF(Q340="","",IF(Q340&lt;O340,"！加算の要件上は問題ありませんが、令和６年度末の加算率と比較して、令和７年度の加算率が低くなっています。",""))</f>
        <v/>
      </c>
      <c r="AN340" s="371"/>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4">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1"/>
      <c r="AO341" s="1126"/>
      <c r="AP341" s="1142"/>
      <c r="AQ341" s="981"/>
      <c r="AR341" s="843"/>
      <c r="AS341" s="843"/>
      <c r="AT341" s="843"/>
      <c r="AU341" s="843"/>
      <c r="AV341" s="843"/>
      <c r="AW341" s="843"/>
      <c r="AX341" s="1143"/>
      <c r="AY341" s="1126"/>
      <c r="AZ341"/>
      <c r="BA341"/>
      <c r="BB341"/>
      <c r="BC341"/>
      <c r="BD341"/>
      <c r="BE341"/>
      <c r="BF341"/>
      <c r="BG341"/>
    </row>
    <row r="342" spans="1:59" ht="14.4">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71"/>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682"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1"/>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301</v>
      </c>
      <c r="S344" s="1153"/>
      <c r="T344" s="1070" t="s">
        <v>385</v>
      </c>
      <c r="U344" s="1153"/>
      <c r="V344" s="1070" t="s">
        <v>386</v>
      </c>
      <c r="W344" s="1153"/>
      <c r="X344" s="1070" t="s">
        <v>385</v>
      </c>
      <c r="Y344" s="1153"/>
      <c r="Z344" s="1070" t="s">
        <v>387</v>
      </c>
      <c r="AA344" s="1070" t="s">
        <v>209</v>
      </c>
      <c r="AB344" s="1070" t="str">
        <f>IF(S344&gt;=1,(W344*12+Y344)-(S344*12+U344)+1,"")</f>
        <v/>
      </c>
      <c r="AC344" s="1073" t="s">
        <v>388</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81" t="str">
        <f>IF(Q344="","",IF(Q344&lt;O344,"！加算の要件上は問題ありませんが、令和６年度末の加算率と比較して、令和７年度の加算率が低くなっています。",""))</f>
        <v/>
      </c>
      <c r="AN344" s="371"/>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4">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1"/>
      <c r="AO345" s="1126"/>
      <c r="AP345" s="1142"/>
      <c r="AQ345" s="981"/>
      <c r="AR345" s="843"/>
      <c r="AS345" s="843"/>
      <c r="AT345" s="843"/>
      <c r="AU345" s="843"/>
      <c r="AV345" s="843"/>
      <c r="AW345" s="843"/>
      <c r="AX345" s="1143"/>
      <c r="AY345" s="1126"/>
      <c r="AZ345"/>
      <c r="BA345"/>
      <c r="BB345"/>
      <c r="BC345"/>
      <c r="BD345"/>
      <c r="BE345"/>
      <c r="BF345"/>
      <c r="BG345"/>
    </row>
    <row r="346" spans="1:59" ht="14.4">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71"/>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682"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1"/>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301</v>
      </c>
      <c r="S348" s="1153"/>
      <c r="T348" s="1070" t="s">
        <v>385</v>
      </c>
      <c r="U348" s="1153"/>
      <c r="V348" s="1070" t="s">
        <v>386</v>
      </c>
      <c r="W348" s="1153"/>
      <c r="X348" s="1070" t="s">
        <v>385</v>
      </c>
      <c r="Y348" s="1153"/>
      <c r="Z348" s="1070" t="s">
        <v>387</v>
      </c>
      <c r="AA348" s="1070" t="s">
        <v>209</v>
      </c>
      <c r="AB348" s="1070" t="str">
        <f>IF(S348&gt;=1,(W348*12+Y348)-(S348*12+U348)+1,"")</f>
        <v/>
      </c>
      <c r="AC348" s="1073" t="s">
        <v>388</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81" t="str">
        <f>IF(Q348="","",IF(Q348&lt;O348,"！加算の要件上は問題ありませんが、令和６年度末の加算率と比較して、令和７年度の加算率が低くなっています。",""))</f>
        <v/>
      </c>
      <c r="AN348" s="371"/>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4">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1"/>
      <c r="AO349" s="1126"/>
      <c r="AP349" s="1142"/>
      <c r="AQ349" s="981"/>
      <c r="AR349" s="843"/>
      <c r="AS349" s="843"/>
      <c r="AT349" s="843"/>
      <c r="AU349" s="843"/>
      <c r="AV349" s="843"/>
      <c r="AW349" s="843"/>
      <c r="AX349" s="1143"/>
      <c r="AY349" s="1126"/>
      <c r="AZ349"/>
      <c r="BA349"/>
      <c r="BB349"/>
      <c r="BC349"/>
      <c r="BD349"/>
      <c r="BE349"/>
      <c r="BF349"/>
      <c r="BG349"/>
    </row>
    <row r="350" spans="1:59" ht="14.4">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71"/>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682"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1"/>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301</v>
      </c>
      <c r="S352" s="1153"/>
      <c r="T352" s="1070" t="s">
        <v>385</v>
      </c>
      <c r="U352" s="1153"/>
      <c r="V352" s="1070" t="s">
        <v>386</v>
      </c>
      <c r="W352" s="1153"/>
      <c r="X352" s="1070" t="s">
        <v>385</v>
      </c>
      <c r="Y352" s="1153"/>
      <c r="Z352" s="1070" t="s">
        <v>387</v>
      </c>
      <c r="AA352" s="1070" t="s">
        <v>209</v>
      </c>
      <c r="AB352" s="1070" t="str">
        <f>IF(S352&gt;=1,(W352*12+Y352)-(S352*12+U352)+1,"")</f>
        <v/>
      </c>
      <c r="AC352" s="1073" t="s">
        <v>388</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81" t="str">
        <f>IF(Q352="","",IF(Q352&lt;O352,"！加算の要件上は問題ありませんが、令和６年度末の加算率と比較して、令和７年度の加算率が低くなっています。",""))</f>
        <v/>
      </c>
      <c r="AN352" s="371"/>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4">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1"/>
      <c r="AO353" s="1126"/>
      <c r="AP353" s="1142"/>
      <c r="AQ353" s="981"/>
      <c r="AR353" s="843"/>
      <c r="AS353" s="843"/>
      <c r="AT353" s="843"/>
      <c r="AU353" s="843"/>
      <c r="AV353" s="843"/>
      <c r="AW353" s="843"/>
      <c r="AX353" s="1143"/>
      <c r="AY353" s="1126"/>
      <c r="AZ353"/>
      <c r="BA353"/>
      <c r="BB353"/>
      <c r="BC353"/>
      <c r="BD353"/>
      <c r="BE353"/>
      <c r="BF353"/>
      <c r="BG353"/>
    </row>
    <row r="354" spans="1:59" ht="14.4">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71"/>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682"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1"/>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301</v>
      </c>
      <c r="S356" s="1153"/>
      <c r="T356" s="1070" t="s">
        <v>385</v>
      </c>
      <c r="U356" s="1153"/>
      <c r="V356" s="1070" t="s">
        <v>386</v>
      </c>
      <c r="W356" s="1153"/>
      <c r="X356" s="1070" t="s">
        <v>385</v>
      </c>
      <c r="Y356" s="1153"/>
      <c r="Z356" s="1070" t="s">
        <v>387</v>
      </c>
      <c r="AA356" s="1070" t="s">
        <v>209</v>
      </c>
      <c r="AB356" s="1070" t="str">
        <f>IF(S356&gt;=1,(W356*12+Y356)-(S356*12+U356)+1,"")</f>
        <v/>
      </c>
      <c r="AC356" s="1073" t="s">
        <v>388</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81" t="str">
        <f>IF(Q356="","",IF(Q356&lt;O356,"！加算の要件上は問題ありませんが、令和６年度末の加算率と比較して、令和７年度の加算率が低くなっています。",""))</f>
        <v/>
      </c>
      <c r="AN356" s="371"/>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4">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1"/>
      <c r="AO357" s="1126"/>
      <c r="AP357" s="1142"/>
      <c r="AQ357" s="981"/>
      <c r="AR357" s="843"/>
      <c r="AS357" s="843"/>
      <c r="AT357" s="843"/>
      <c r="AU357" s="843"/>
      <c r="AV357" s="843"/>
      <c r="AW357" s="843"/>
      <c r="AX357" s="1143"/>
      <c r="AY357" s="1126"/>
      <c r="AZ357"/>
      <c r="BA357"/>
      <c r="BB357"/>
      <c r="BC357"/>
      <c r="BD357"/>
      <c r="BE357"/>
      <c r="BF357"/>
      <c r="BG357"/>
    </row>
    <row r="358" spans="1:59" ht="14.4">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71"/>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682"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1"/>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301</v>
      </c>
      <c r="S360" s="1153"/>
      <c r="T360" s="1070" t="s">
        <v>385</v>
      </c>
      <c r="U360" s="1153"/>
      <c r="V360" s="1070" t="s">
        <v>386</v>
      </c>
      <c r="W360" s="1153"/>
      <c r="X360" s="1070" t="s">
        <v>385</v>
      </c>
      <c r="Y360" s="1153"/>
      <c r="Z360" s="1070" t="s">
        <v>387</v>
      </c>
      <c r="AA360" s="1070" t="s">
        <v>209</v>
      </c>
      <c r="AB360" s="1070" t="str">
        <f>IF(S360&gt;=1,(W360*12+Y360)-(S360*12+U360)+1,"")</f>
        <v/>
      </c>
      <c r="AC360" s="1073" t="s">
        <v>388</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81" t="str">
        <f>IF(Q360="","",IF(Q360&lt;O360,"！加算の要件上は問題ありませんが、令和６年度末の加算率と比較して、令和７年度の加算率が低くなっています。",""))</f>
        <v/>
      </c>
      <c r="AN360" s="371"/>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4">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1"/>
      <c r="AO361" s="1126"/>
      <c r="AP361" s="1142"/>
      <c r="AQ361" s="981"/>
      <c r="AR361" s="843"/>
      <c r="AS361" s="843"/>
      <c r="AT361" s="843"/>
      <c r="AU361" s="843"/>
      <c r="AV361" s="843"/>
      <c r="AW361" s="843"/>
      <c r="AX361" s="1143"/>
      <c r="AY361" s="1126"/>
      <c r="AZ361"/>
      <c r="BA361"/>
      <c r="BB361"/>
      <c r="BC361"/>
      <c r="BD361"/>
      <c r="BE361"/>
      <c r="BF361"/>
      <c r="BG361"/>
    </row>
    <row r="362" spans="1:59" ht="14.4">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71"/>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682"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1"/>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301</v>
      </c>
      <c r="S364" s="1153"/>
      <c r="T364" s="1070" t="s">
        <v>385</v>
      </c>
      <c r="U364" s="1153"/>
      <c r="V364" s="1070" t="s">
        <v>386</v>
      </c>
      <c r="W364" s="1153"/>
      <c r="X364" s="1070" t="s">
        <v>385</v>
      </c>
      <c r="Y364" s="1153"/>
      <c r="Z364" s="1070" t="s">
        <v>387</v>
      </c>
      <c r="AA364" s="1070" t="s">
        <v>209</v>
      </c>
      <c r="AB364" s="1070" t="str">
        <f>IF(S364&gt;=1,(W364*12+Y364)-(S364*12+U364)+1,"")</f>
        <v/>
      </c>
      <c r="AC364" s="1073" t="s">
        <v>388</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81" t="str">
        <f>IF(Q364="","",IF(Q364&lt;O364,"！加算の要件上は問題ありませんが、令和６年度末の加算率と比較して、令和７年度の加算率が低くなっています。",""))</f>
        <v/>
      </c>
      <c r="AN364" s="371"/>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4">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1"/>
      <c r="AO365" s="1126"/>
      <c r="AP365" s="1142"/>
      <c r="AQ365" s="981"/>
      <c r="AR365" s="843"/>
      <c r="AS365" s="843"/>
      <c r="AT365" s="843"/>
      <c r="AU365" s="843"/>
      <c r="AV365" s="843"/>
      <c r="AW365" s="843"/>
      <c r="AX365" s="1143"/>
      <c r="AY365" s="1126"/>
      <c r="AZ365"/>
      <c r="BA365"/>
      <c r="BB365"/>
      <c r="BC365"/>
      <c r="BD365"/>
      <c r="BE365"/>
      <c r="BF365"/>
      <c r="BG365"/>
    </row>
    <row r="366" spans="1:59" ht="14.4">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71"/>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682"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1"/>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301</v>
      </c>
      <c r="S368" s="1153"/>
      <c r="T368" s="1070" t="s">
        <v>385</v>
      </c>
      <c r="U368" s="1153"/>
      <c r="V368" s="1070" t="s">
        <v>386</v>
      </c>
      <c r="W368" s="1153"/>
      <c r="X368" s="1070" t="s">
        <v>385</v>
      </c>
      <c r="Y368" s="1153"/>
      <c r="Z368" s="1070" t="s">
        <v>387</v>
      </c>
      <c r="AA368" s="1070" t="s">
        <v>209</v>
      </c>
      <c r="AB368" s="1070" t="str">
        <f>IF(S368&gt;=1,(W368*12+Y368)-(S368*12+U368)+1,"")</f>
        <v/>
      </c>
      <c r="AC368" s="1073" t="s">
        <v>388</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81" t="str">
        <f>IF(Q368="","",IF(Q368&lt;O368,"！加算の要件上は問題ありませんが、令和６年度末の加算率と比較して、令和７年度の加算率が低くなっています。",""))</f>
        <v/>
      </c>
      <c r="AN368" s="371"/>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4">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1"/>
      <c r="AO369" s="1126"/>
      <c r="AP369" s="1142"/>
      <c r="AQ369" s="981"/>
      <c r="AR369" s="843"/>
      <c r="AS369" s="843"/>
      <c r="AT369" s="843"/>
      <c r="AU369" s="843"/>
      <c r="AV369" s="843"/>
      <c r="AW369" s="843"/>
      <c r="AX369" s="1143"/>
      <c r="AY369" s="1126"/>
      <c r="AZ369"/>
      <c r="BA369"/>
      <c r="BB369"/>
      <c r="BC369"/>
      <c r="BD369"/>
      <c r="BE369"/>
      <c r="BF369"/>
      <c r="BG369"/>
    </row>
    <row r="370" spans="1:59" ht="14.4">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71"/>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682"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1"/>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301</v>
      </c>
      <c r="S372" s="1153"/>
      <c r="T372" s="1070" t="s">
        <v>385</v>
      </c>
      <c r="U372" s="1153"/>
      <c r="V372" s="1070" t="s">
        <v>386</v>
      </c>
      <c r="W372" s="1153"/>
      <c r="X372" s="1070" t="s">
        <v>385</v>
      </c>
      <c r="Y372" s="1153"/>
      <c r="Z372" s="1070" t="s">
        <v>387</v>
      </c>
      <c r="AA372" s="1070" t="s">
        <v>209</v>
      </c>
      <c r="AB372" s="1070" t="str">
        <f>IF(S372&gt;=1,(W372*12+Y372)-(S372*12+U372)+1,"")</f>
        <v/>
      </c>
      <c r="AC372" s="1073" t="s">
        <v>388</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81" t="str">
        <f>IF(Q372="","",IF(Q372&lt;O372,"！加算の要件上は問題ありませんが、令和６年度末の加算率と比較して、令和７年度の加算率が低くなっています。",""))</f>
        <v/>
      </c>
      <c r="AN372" s="371"/>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4">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1"/>
      <c r="AO373" s="1126"/>
      <c r="AP373" s="1142"/>
      <c r="AQ373" s="981"/>
      <c r="AR373" s="843"/>
      <c r="AS373" s="843"/>
      <c r="AT373" s="843"/>
      <c r="AU373" s="843"/>
      <c r="AV373" s="843"/>
      <c r="AW373" s="843"/>
      <c r="AX373" s="1143"/>
      <c r="AY373" s="1126"/>
      <c r="AZ373"/>
      <c r="BA373"/>
      <c r="BB373"/>
      <c r="BC373"/>
      <c r="BD373"/>
      <c r="BE373"/>
      <c r="BF373"/>
      <c r="BG373"/>
    </row>
    <row r="374" spans="1:59" ht="14.4">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71"/>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682"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1"/>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301</v>
      </c>
      <c r="S376" s="1153"/>
      <c r="T376" s="1070" t="s">
        <v>385</v>
      </c>
      <c r="U376" s="1153"/>
      <c r="V376" s="1070" t="s">
        <v>386</v>
      </c>
      <c r="W376" s="1153"/>
      <c r="X376" s="1070" t="s">
        <v>385</v>
      </c>
      <c r="Y376" s="1153"/>
      <c r="Z376" s="1070" t="s">
        <v>387</v>
      </c>
      <c r="AA376" s="1070" t="s">
        <v>209</v>
      </c>
      <c r="AB376" s="1070" t="str">
        <f>IF(S376&gt;=1,(W376*12+Y376)-(S376*12+U376)+1,"")</f>
        <v/>
      </c>
      <c r="AC376" s="1073" t="s">
        <v>388</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81" t="str">
        <f>IF(Q376="","",IF(Q376&lt;O376,"！加算の要件上は問題ありませんが、令和６年度末の加算率と比較して、令和７年度の加算率が低くなっています。",""))</f>
        <v/>
      </c>
      <c r="AN376" s="371"/>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4">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1"/>
      <c r="AO377" s="1126"/>
      <c r="AP377" s="1142"/>
      <c r="AQ377" s="981"/>
      <c r="AR377" s="843"/>
      <c r="AS377" s="843"/>
      <c r="AT377" s="843"/>
      <c r="AU377" s="843"/>
      <c r="AV377" s="843"/>
      <c r="AW377" s="843"/>
      <c r="AX377" s="1143"/>
      <c r="AY377" s="1126"/>
      <c r="AZ377"/>
      <c r="BA377"/>
      <c r="BB377"/>
      <c r="BC377"/>
      <c r="BD377"/>
      <c r="BE377"/>
      <c r="BF377"/>
      <c r="BG377"/>
    </row>
    <row r="378" spans="1:59" ht="14.4">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71"/>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682"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1"/>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301</v>
      </c>
      <c r="S380" s="1153"/>
      <c r="T380" s="1070" t="s">
        <v>385</v>
      </c>
      <c r="U380" s="1153"/>
      <c r="V380" s="1070" t="s">
        <v>386</v>
      </c>
      <c r="W380" s="1153"/>
      <c r="X380" s="1070" t="s">
        <v>385</v>
      </c>
      <c r="Y380" s="1153"/>
      <c r="Z380" s="1070" t="s">
        <v>387</v>
      </c>
      <c r="AA380" s="1070" t="s">
        <v>209</v>
      </c>
      <c r="AB380" s="1070" t="str">
        <f>IF(S380&gt;=1,(W380*12+Y380)-(S380*12+U380)+1,"")</f>
        <v/>
      </c>
      <c r="AC380" s="1073" t="s">
        <v>388</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81" t="str">
        <f>IF(Q380="","",IF(Q380&lt;O380,"！加算の要件上は問題ありませんが、令和６年度末の加算率と比較して、令和７年度の加算率が低くなっています。",""))</f>
        <v/>
      </c>
      <c r="AN380" s="371"/>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4">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1"/>
      <c r="AO381" s="1126"/>
      <c r="AP381" s="1142"/>
      <c r="AQ381" s="981"/>
      <c r="AR381" s="843"/>
      <c r="AS381" s="843"/>
      <c r="AT381" s="843"/>
      <c r="AU381" s="843"/>
      <c r="AV381" s="843"/>
      <c r="AW381" s="843"/>
      <c r="AX381" s="1143"/>
      <c r="AY381" s="1126"/>
      <c r="AZ381"/>
      <c r="BA381"/>
      <c r="BB381"/>
      <c r="BC381"/>
      <c r="BD381"/>
      <c r="BE381"/>
      <c r="BF381"/>
      <c r="BG381"/>
    </row>
    <row r="382" spans="1:59" ht="14.4">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71"/>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682"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1"/>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301</v>
      </c>
      <c r="S384" s="1153"/>
      <c r="T384" s="1070" t="s">
        <v>385</v>
      </c>
      <c r="U384" s="1153"/>
      <c r="V384" s="1070" t="s">
        <v>386</v>
      </c>
      <c r="W384" s="1153"/>
      <c r="X384" s="1070" t="s">
        <v>385</v>
      </c>
      <c r="Y384" s="1153"/>
      <c r="Z384" s="1070" t="s">
        <v>387</v>
      </c>
      <c r="AA384" s="1070" t="s">
        <v>209</v>
      </c>
      <c r="AB384" s="1070" t="str">
        <f>IF(S384&gt;=1,(W384*12+Y384)-(S384*12+U384)+1,"")</f>
        <v/>
      </c>
      <c r="AC384" s="1073" t="s">
        <v>388</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81" t="str">
        <f>IF(Q384="","",IF(Q384&lt;O384,"！加算の要件上は問題ありませんが、令和６年度末の加算率と比較して、令和７年度の加算率が低くなっています。",""))</f>
        <v/>
      </c>
      <c r="AN384" s="371"/>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4">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1"/>
      <c r="AO385" s="1126"/>
      <c r="AP385" s="1142"/>
      <c r="AQ385" s="981"/>
      <c r="AR385" s="843"/>
      <c r="AS385" s="843"/>
      <c r="AT385" s="843"/>
      <c r="AU385" s="843"/>
      <c r="AV385" s="843"/>
      <c r="AW385" s="843"/>
      <c r="AX385" s="1143"/>
      <c r="AY385" s="1126"/>
      <c r="AZ385"/>
      <c r="BA385"/>
      <c r="BB385"/>
      <c r="BC385"/>
      <c r="BD385"/>
      <c r="BE385"/>
      <c r="BF385"/>
      <c r="BG385"/>
    </row>
    <row r="386" spans="1:59" ht="14.4">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71"/>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682"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1"/>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301</v>
      </c>
      <c r="S388" s="1153"/>
      <c r="T388" s="1070" t="s">
        <v>385</v>
      </c>
      <c r="U388" s="1153"/>
      <c r="V388" s="1070" t="s">
        <v>386</v>
      </c>
      <c r="W388" s="1153"/>
      <c r="X388" s="1070" t="s">
        <v>385</v>
      </c>
      <c r="Y388" s="1153"/>
      <c r="Z388" s="1070" t="s">
        <v>387</v>
      </c>
      <c r="AA388" s="1070" t="s">
        <v>209</v>
      </c>
      <c r="AB388" s="1070" t="str">
        <f>IF(S388&gt;=1,(W388*12+Y388)-(S388*12+U388)+1,"")</f>
        <v/>
      </c>
      <c r="AC388" s="1073" t="s">
        <v>388</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81" t="str">
        <f>IF(Q388="","",IF(Q388&lt;O388,"！加算の要件上は問題ありませんが、令和６年度末の加算率と比較して、令和７年度の加算率が低くなっています。",""))</f>
        <v/>
      </c>
      <c r="AN388" s="371"/>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4">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1"/>
      <c r="AO389" s="1126"/>
      <c r="AP389" s="1142"/>
      <c r="AQ389" s="981"/>
      <c r="AR389" s="843"/>
      <c r="AS389" s="843"/>
      <c r="AT389" s="843"/>
      <c r="AU389" s="843"/>
      <c r="AV389" s="843"/>
      <c r="AW389" s="843"/>
      <c r="AX389" s="1143"/>
      <c r="AY389" s="1126"/>
      <c r="AZ389"/>
      <c r="BA389"/>
      <c r="BB389"/>
      <c r="BC389"/>
      <c r="BD389"/>
      <c r="BE389"/>
      <c r="BF389"/>
      <c r="BG389"/>
    </row>
    <row r="390" spans="1:59" ht="14.4">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71"/>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682"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1"/>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301</v>
      </c>
      <c r="S392" s="1153"/>
      <c r="T392" s="1070" t="s">
        <v>385</v>
      </c>
      <c r="U392" s="1153"/>
      <c r="V392" s="1070" t="s">
        <v>386</v>
      </c>
      <c r="W392" s="1153"/>
      <c r="X392" s="1070" t="s">
        <v>385</v>
      </c>
      <c r="Y392" s="1153"/>
      <c r="Z392" s="1070" t="s">
        <v>387</v>
      </c>
      <c r="AA392" s="1070" t="s">
        <v>209</v>
      </c>
      <c r="AB392" s="1070" t="str">
        <f>IF(S392&gt;=1,(W392*12+Y392)-(S392*12+U392)+1,"")</f>
        <v/>
      </c>
      <c r="AC392" s="1073" t="s">
        <v>388</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81" t="str">
        <f>IF(Q392="","",IF(Q392&lt;O392,"！加算の要件上は問題ありませんが、令和６年度末の加算率と比較して、令和７年度の加算率が低くなっています。",""))</f>
        <v/>
      </c>
      <c r="AN392" s="371"/>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4">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1"/>
      <c r="AO393" s="1126"/>
      <c r="AP393" s="1142"/>
      <c r="AQ393" s="981"/>
      <c r="AR393" s="843"/>
      <c r="AS393" s="843"/>
      <c r="AT393" s="843"/>
      <c r="AU393" s="843"/>
      <c r="AV393" s="843"/>
      <c r="AW393" s="843"/>
      <c r="AX393" s="1143"/>
      <c r="AY393" s="1126"/>
      <c r="AZ393"/>
      <c r="BA393"/>
      <c r="BB393"/>
      <c r="BC393"/>
      <c r="BD393"/>
      <c r="BE393"/>
      <c r="BF393"/>
      <c r="BG393"/>
    </row>
    <row r="394" spans="1:59" ht="14.4">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71"/>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682"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1"/>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301</v>
      </c>
      <c r="S396" s="1153"/>
      <c r="T396" s="1070" t="s">
        <v>385</v>
      </c>
      <c r="U396" s="1153"/>
      <c r="V396" s="1070" t="s">
        <v>386</v>
      </c>
      <c r="W396" s="1153"/>
      <c r="X396" s="1070" t="s">
        <v>385</v>
      </c>
      <c r="Y396" s="1153"/>
      <c r="Z396" s="1070" t="s">
        <v>387</v>
      </c>
      <c r="AA396" s="1070" t="s">
        <v>209</v>
      </c>
      <c r="AB396" s="1070" t="str">
        <f>IF(S396&gt;=1,(W396*12+Y396)-(S396*12+U396)+1,"")</f>
        <v/>
      </c>
      <c r="AC396" s="1073" t="s">
        <v>388</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81" t="str">
        <f>IF(Q396="","",IF(Q396&lt;O396,"！加算の要件上は問題ありませんが、令和６年度末の加算率と比較して、令和７年度の加算率が低くなっています。",""))</f>
        <v/>
      </c>
      <c r="AN396" s="371"/>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4">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1"/>
      <c r="AO397" s="1126"/>
      <c r="AP397" s="1142"/>
      <c r="AQ397" s="981"/>
      <c r="AR397" s="843"/>
      <c r="AS397" s="843"/>
      <c r="AT397" s="843"/>
      <c r="AU397" s="843"/>
      <c r="AV397" s="843"/>
      <c r="AW397" s="843"/>
      <c r="AX397" s="1143"/>
      <c r="AY397" s="1126"/>
      <c r="AZ397"/>
      <c r="BA397"/>
      <c r="BB397"/>
      <c r="BC397"/>
      <c r="BD397"/>
      <c r="BE397"/>
      <c r="BF397"/>
      <c r="BG397"/>
    </row>
    <row r="398" spans="1:59" ht="14.4">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71"/>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682"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1"/>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301</v>
      </c>
      <c r="S400" s="1153"/>
      <c r="T400" s="1070" t="s">
        <v>385</v>
      </c>
      <c r="U400" s="1153"/>
      <c r="V400" s="1070" t="s">
        <v>386</v>
      </c>
      <c r="W400" s="1153"/>
      <c r="X400" s="1070" t="s">
        <v>385</v>
      </c>
      <c r="Y400" s="1153"/>
      <c r="Z400" s="1070" t="s">
        <v>387</v>
      </c>
      <c r="AA400" s="1070" t="s">
        <v>209</v>
      </c>
      <c r="AB400" s="1070" t="str">
        <f>IF(S400&gt;=1,(W400*12+Y400)-(S400*12+U400)+1,"")</f>
        <v/>
      </c>
      <c r="AC400" s="1073" t="s">
        <v>388</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81" t="str">
        <f>IF(Q400="","",IF(Q400&lt;O400,"！加算の要件上は問題ありませんが、令和６年度末の加算率と比較して、令和７年度の加算率が低くなっています。",""))</f>
        <v/>
      </c>
      <c r="AN400" s="371"/>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4">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1"/>
      <c r="AO401" s="1126"/>
      <c r="AP401" s="1142"/>
      <c r="AQ401" s="981"/>
      <c r="AR401" s="843"/>
      <c r="AS401" s="843"/>
      <c r="AT401" s="843"/>
      <c r="AU401" s="843"/>
      <c r="AV401" s="843"/>
      <c r="AW401" s="843"/>
      <c r="AX401" s="1143"/>
      <c r="AY401" s="1126"/>
      <c r="AZ401"/>
      <c r="BA401"/>
      <c r="BB401"/>
      <c r="BC401"/>
      <c r="BD401"/>
      <c r="BE401"/>
      <c r="BF401"/>
      <c r="BG401"/>
    </row>
    <row r="402" spans="1:59" ht="14.4">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71"/>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682"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1"/>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301</v>
      </c>
      <c r="S404" s="1153"/>
      <c r="T404" s="1070" t="s">
        <v>385</v>
      </c>
      <c r="U404" s="1153"/>
      <c r="V404" s="1070" t="s">
        <v>386</v>
      </c>
      <c r="W404" s="1153"/>
      <c r="X404" s="1070" t="s">
        <v>385</v>
      </c>
      <c r="Y404" s="1153"/>
      <c r="Z404" s="1070" t="s">
        <v>387</v>
      </c>
      <c r="AA404" s="1070" t="s">
        <v>209</v>
      </c>
      <c r="AB404" s="1070" t="str">
        <f>IF(S404&gt;=1,(W404*12+Y404)-(S404*12+U404)+1,"")</f>
        <v/>
      </c>
      <c r="AC404" s="1073" t="s">
        <v>388</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81" t="str">
        <f>IF(Q404="","",IF(Q404&lt;O404,"！加算の要件上は問題ありませんが、令和６年度末の加算率と比較して、令和７年度の加算率が低くなっています。",""))</f>
        <v/>
      </c>
      <c r="AN404" s="371"/>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4">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1"/>
      <c r="AO405" s="1126"/>
      <c r="AP405" s="1142"/>
      <c r="AQ405" s="981"/>
      <c r="AR405" s="843"/>
      <c r="AS405" s="843"/>
      <c r="AT405" s="843"/>
      <c r="AU405" s="843"/>
      <c r="AV405" s="843"/>
      <c r="AW405" s="843"/>
      <c r="AX405" s="1143"/>
      <c r="AY405" s="1126"/>
      <c r="AZ405"/>
      <c r="BA405"/>
      <c r="BB405"/>
      <c r="BC405"/>
      <c r="BD405"/>
      <c r="BE405"/>
      <c r="BF405"/>
      <c r="BG405"/>
    </row>
    <row r="406" spans="1:59" ht="14.4">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71"/>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682"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1"/>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301</v>
      </c>
      <c r="S408" s="1153"/>
      <c r="T408" s="1070" t="s">
        <v>385</v>
      </c>
      <c r="U408" s="1153"/>
      <c r="V408" s="1070" t="s">
        <v>386</v>
      </c>
      <c r="W408" s="1153"/>
      <c r="X408" s="1070" t="s">
        <v>385</v>
      </c>
      <c r="Y408" s="1153"/>
      <c r="Z408" s="1070" t="s">
        <v>387</v>
      </c>
      <c r="AA408" s="1070" t="s">
        <v>209</v>
      </c>
      <c r="AB408" s="1070" t="str">
        <f>IF(S408&gt;=1,(W408*12+Y408)-(S408*12+U408)+1,"")</f>
        <v/>
      </c>
      <c r="AC408" s="1073" t="s">
        <v>388</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81" t="str">
        <f>IF(Q408="","",IF(Q408&lt;O408,"！加算の要件上は問題ありませんが、令和６年度末の加算率と比較して、令和７年度の加算率が低くなっています。",""))</f>
        <v/>
      </c>
      <c r="AN408" s="371"/>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4">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1"/>
      <c r="AO409" s="1126"/>
      <c r="AP409" s="1142"/>
      <c r="AQ409" s="981"/>
      <c r="AR409" s="843"/>
      <c r="AS409" s="843"/>
      <c r="AT409" s="843"/>
      <c r="AU409" s="843"/>
      <c r="AV409" s="843"/>
      <c r="AW409" s="843"/>
      <c r="AX409" s="1143"/>
      <c r="AY409" s="1126"/>
      <c r="AZ409"/>
      <c r="BA409"/>
      <c r="BB409"/>
      <c r="BC409"/>
      <c r="BD409"/>
      <c r="BE409"/>
      <c r="BF409"/>
      <c r="BG409"/>
    </row>
    <row r="410" spans="1:59" ht="14.4">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71"/>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682"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1"/>
      <c r="AO411" s="1127"/>
      <c r="AP411" s="1142"/>
      <c r="AQ411" s="982"/>
      <c r="AR411" s="843"/>
      <c r="AS411" s="843"/>
      <c r="AT411" s="843"/>
      <c r="AU411" s="843"/>
      <c r="AV411" s="843"/>
      <c r="AW411" s="843"/>
      <c r="AX411" s="1143"/>
      <c r="AY411" s="1127"/>
      <c r="AZ411"/>
      <c r="BA411"/>
      <c r="BB411"/>
      <c r="BC411"/>
      <c r="BD411"/>
      <c r="BE411"/>
      <c r="BF411"/>
      <c r="BG411"/>
    </row>
    <row r="412" spans="1:59" ht="16.2" customHeight="1">
      <c r="B412" s="1079"/>
      <c r="C412" s="1079"/>
      <c r="D412" s="1079"/>
      <c r="E412" s="1079"/>
      <c r="F412" s="1079"/>
      <c r="G412" s="1079"/>
      <c r="H412" s="1079"/>
      <c r="I412" s="1079"/>
      <c r="J412" s="1079"/>
      <c r="K412" s="1079"/>
      <c r="L412" s="1079"/>
      <c r="M412" s="374"/>
      <c r="AG412" s="375"/>
    </row>
    <row r="413" spans="1:59">
      <c r="B413" s="1079"/>
      <c r="C413" s="1079"/>
      <c r="D413" s="1079"/>
      <c r="E413" s="1079"/>
      <c r="F413" s="1079"/>
      <c r="G413" s="1079"/>
      <c r="H413" s="1079"/>
      <c r="I413" s="1079"/>
      <c r="J413" s="1079"/>
      <c r="K413" s="1079"/>
      <c r="L413" s="1079"/>
      <c r="M413" s="374"/>
      <c r="AG413" s="375"/>
      <c r="AM413" s="1060"/>
    </row>
    <row r="414" spans="1:59">
      <c r="B414" s="1079"/>
      <c r="C414" s="1079"/>
      <c r="D414" s="1079"/>
      <c r="E414" s="1079"/>
      <c r="F414" s="1079"/>
      <c r="G414" s="1079"/>
      <c r="H414" s="1079"/>
      <c r="I414" s="1079"/>
      <c r="J414" s="1079"/>
      <c r="K414" s="1079"/>
      <c r="L414" s="1079"/>
      <c r="M414" s="374"/>
      <c r="AG414" s="375"/>
      <c r="AM414" s="1060"/>
    </row>
    <row r="415" spans="1:59">
      <c r="B415" s="1079"/>
      <c r="C415" s="1079"/>
      <c r="D415" s="1079"/>
      <c r="E415" s="1079"/>
      <c r="F415" s="1079"/>
      <c r="G415" s="1079"/>
      <c r="H415" s="1079"/>
      <c r="I415" s="1079"/>
      <c r="J415" s="1079"/>
      <c r="K415" s="1079"/>
      <c r="L415" s="1079"/>
      <c r="M415" s="374"/>
      <c r="AG415" s="375"/>
    </row>
    <row r="416" spans="1:59" ht="16.2" customHeight="1">
      <c r="B416" s="1079"/>
      <c r="C416" s="1079"/>
      <c r="D416" s="1079"/>
      <c r="E416" s="1079"/>
      <c r="F416" s="1079"/>
      <c r="G416" s="1079"/>
      <c r="H416" s="1079"/>
      <c r="I416" s="1079"/>
      <c r="J416" s="1079"/>
      <c r="K416" s="1079"/>
      <c r="L416" s="1079"/>
      <c r="M416" s="374"/>
      <c r="AG416" s="375"/>
    </row>
    <row r="417" spans="2:39">
      <c r="B417" s="1079"/>
      <c r="C417" s="1079"/>
      <c r="D417" s="1079"/>
      <c r="E417" s="1079"/>
      <c r="F417" s="1079"/>
      <c r="G417" s="1079"/>
      <c r="H417" s="1079"/>
      <c r="I417" s="1079"/>
      <c r="J417" s="1079"/>
      <c r="K417" s="1079"/>
      <c r="L417" s="1079"/>
      <c r="M417" s="374"/>
      <c r="AG417" s="375"/>
      <c r="AM417" s="1060"/>
    </row>
    <row r="418" spans="2:39">
      <c r="B418" s="1079"/>
      <c r="C418" s="1079"/>
      <c r="D418" s="1079"/>
      <c r="E418" s="1079"/>
      <c r="F418" s="1079"/>
      <c r="G418" s="1079"/>
      <c r="H418" s="1079"/>
      <c r="I418" s="1079"/>
      <c r="J418" s="1079"/>
      <c r="K418" s="1079"/>
      <c r="L418" s="1079"/>
      <c r="M418" s="374"/>
      <c r="AG418" s="375"/>
      <c r="AM418" s="1060"/>
    </row>
    <row r="419" spans="2:39">
      <c r="B419" s="1079"/>
      <c r="C419" s="1079"/>
      <c r="D419" s="1079"/>
      <c r="E419" s="1079"/>
      <c r="F419" s="1079"/>
      <c r="G419" s="1079"/>
      <c r="H419" s="1079"/>
      <c r="I419" s="1079"/>
      <c r="J419" s="1079"/>
      <c r="K419" s="1079"/>
      <c r="L419" s="1079"/>
      <c r="M419" s="374"/>
      <c r="AG419" s="375"/>
    </row>
    <row r="420" spans="2:39" ht="16.2" customHeight="1">
      <c r="B420" s="1079"/>
      <c r="C420" s="1079"/>
      <c r="D420" s="1079"/>
      <c r="E420" s="1079"/>
      <c r="F420" s="1079"/>
      <c r="G420" s="1079"/>
      <c r="H420" s="1079"/>
      <c r="I420" s="1079"/>
      <c r="J420" s="1079"/>
      <c r="K420" s="1079"/>
      <c r="L420" s="1079"/>
      <c r="M420" s="374"/>
      <c r="AG420" s="375"/>
    </row>
    <row r="421" spans="2:39">
      <c r="B421" s="1079"/>
      <c r="C421" s="1079"/>
      <c r="D421" s="1079"/>
      <c r="E421" s="1079"/>
      <c r="F421" s="1079"/>
      <c r="G421" s="1079"/>
      <c r="H421" s="1079"/>
      <c r="I421" s="1079"/>
      <c r="J421" s="1079"/>
      <c r="K421" s="1079"/>
      <c r="L421" s="1079"/>
      <c r="M421" s="374"/>
      <c r="AG421" s="375"/>
    </row>
    <row r="422" spans="2:39">
      <c r="B422" s="1079"/>
      <c r="C422" s="1079"/>
      <c r="D422" s="1079"/>
      <c r="E422" s="1079"/>
      <c r="F422" s="1079"/>
      <c r="G422" s="1079"/>
      <c r="H422" s="1079"/>
      <c r="I422" s="1079"/>
      <c r="J422" s="1079"/>
      <c r="K422" s="1079"/>
      <c r="L422" s="1079"/>
      <c r="M422" s="374"/>
      <c r="AG422" s="375"/>
    </row>
    <row r="423" spans="2:39">
      <c r="B423" s="1079"/>
      <c r="C423" s="1079"/>
      <c r="D423" s="1079"/>
      <c r="E423" s="1079"/>
      <c r="F423" s="1079"/>
      <c r="G423" s="1079"/>
      <c r="H423" s="1079"/>
      <c r="I423" s="1079"/>
      <c r="J423" s="1079"/>
      <c r="K423" s="1079"/>
      <c r="L423" s="1079"/>
      <c r="M423" s="374"/>
      <c r="AG423" s="375"/>
    </row>
    <row r="424" spans="2:39" ht="16.2" customHeight="1">
      <c r="B424" s="1079"/>
      <c r="C424" s="1079"/>
      <c r="D424" s="1079"/>
      <c r="E424" s="1079"/>
      <c r="F424" s="1079"/>
      <c r="G424" s="1079"/>
      <c r="H424" s="1079"/>
      <c r="I424" s="1079"/>
      <c r="J424" s="1079"/>
      <c r="K424" s="1079"/>
      <c r="L424" s="1079"/>
      <c r="M424" s="374"/>
    </row>
    <row r="425" spans="2:39">
      <c r="B425" s="1079"/>
      <c r="C425" s="1079"/>
      <c r="D425" s="1079"/>
      <c r="E425" s="1079"/>
      <c r="F425" s="1079"/>
      <c r="G425" s="1079"/>
      <c r="H425" s="1079"/>
      <c r="I425" s="1079"/>
      <c r="J425" s="1079"/>
      <c r="K425" s="1079"/>
      <c r="L425" s="1079"/>
      <c r="M425" s="374"/>
    </row>
    <row r="426" spans="2:39">
      <c r="B426" s="1079"/>
      <c r="C426" s="1079"/>
      <c r="D426" s="1079"/>
      <c r="E426" s="1079"/>
      <c r="F426" s="1079"/>
      <c r="G426" s="1079"/>
      <c r="H426" s="1079"/>
      <c r="I426" s="1079"/>
      <c r="J426" s="1079"/>
      <c r="K426" s="1079"/>
      <c r="L426" s="1079"/>
      <c r="M426" s="374"/>
    </row>
    <row r="427" spans="2:39">
      <c r="B427" s="1079"/>
      <c r="C427" s="1079"/>
      <c r="D427" s="1079"/>
      <c r="E427" s="1079"/>
      <c r="F427" s="1079"/>
      <c r="G427" s="1079"/>
      <c r="H427" s="1079"/>
      <c r="I427" s="1079"/>
      <c r="J427" s="1079"/>
      <c r="K427" s="1079"/>
      <c r="L427" s="1079"/>
      <c r="M427" s="374"/>
    </row>
    <row r="428" spans="2:39" ht="16.2"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2"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2"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2"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zoomScaleNormal="91" zoomScaleSheetLayoutView="100" workbookViewId="0">
      <selection activeCell="AE55" sqref="AE5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39" t="s">
        <v>174</v>
      </c>
      <c r="AC1" s="940"/>
      <c r="AD1" s="940"/>
      <c r="AE1" s="939" t="str">
        <f>IF(基本情報入力シート!AA16&lt;&gt;"", 基本情報入力シート!AA16, "")</f>
        <v>奈良県</v>
      </c>
      <c r="AF1" s="940"/>
      <c r="AG1" s="940"/>
      <c r="AH1" s="940"/>
      <c r="AI1" s="965"/>
      <c r="AJ1" s="59"/>
      <c r="AK1" s="144"/>
      <c r="AL1" s="145"/>
      <c r="AM1" s="145"/>
      <c r="AN1" s="145"/>
      <c r="AO1" s="678"/>
      <c r="AP1" s="145"/>
      <c r="AQ1" s="145"/>
      <c r="AR1" s="145"/>
      <c r="AS1" s="145"/>
      <c r="AT1" s="145"/>
      <c r="AU1" s="145"/>
      <c r="AV1" s="145"/>
      <c r="AW1" s="146"/>
      <c r="AX1" s="138"/>
      <c r="AY1" s="843" t="s">
        <v>175</v>
      </c>
      <c r="AZ1" s="843"/>
      <c r="BA1" s="843"/>
      <c r="BB1" s="843"/>
      <c r="BC1" s="843"/>
    </row>
    <row r="2" spans="1:55" ht="12.6" customHeight="1">
      <c r="A2" s="1254" t="str">
        <f>IF(AY2="加算様式を指定権者に提出", "！基本情報入力シート「１　提出の目的と提出先の自治体名」にて「加算様式を指定権者に提出」が選択されているため、この様式はグレーアウトされています。", "")</f>
        <v/>
      </c>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5"/>
      <c r="AK2" s="147"/>
      <c r="AL2" s="148"/>
      <c r="AM2" s="148"/>
      <c r="AN2" s="676"/>
      <c r="AO2" s="680"/>
      <c r="AP2" s="677"/>
      <c r="AQ2" s="148"/>
      <c r="AR2" s="148"/>
      <c r="AS2" s="148"/>
      <c r="AT2" s="148"/>
      <c r="AU2" s="148"/>
      <c r="AV2" s="148"/>
      <c r="AW2" s="149"/>
      <c r="AY2" s="843" t="str">
        <f>IF(基本情報入力シート!V14="", "", 基本情報入力シート!V14)</f>
        <v/>
      </c>
      <c r="AZ2" s="843"/>
      <c r="BA2" s="843"/>
      <c r="BB2" s="843"/>
      <c r="BC2" s="843"/>
    </row>
    <row r="3" spans="1:55" ht="14.4"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0"/>
      <c r="AL3" s="151"/>
      <c r="AM3" s="151"/>
      <c r="AN3" s="151"/>
      <c r="AO3" s="679"/>
      <c r="AP3" s="151"/>
      <c r="AQ3" s="151"/>
      <c r="AR3" s="151"/>
      <c r="AS3" s="151"/>
      <c r="AT3" s="151"/>
      <c r="AU3" s="151"/>
      <c r="AV3" s="151"/>
      <c r="AW3" s="152"/>
      <c r="AY3" s="843"/>
      <c r="AZ3" s="843"/>
      <c r="BA3" s="843"/>
      <c r="BB3" s="843"/>
      <c r="BC3" s="843"/>
    </row>
    <row r="4" spans="1:55" s="29" customFormat="1" ht="13.5" customHeight="1">
      <c r="A4" s="1293" t="s">
        <v>13</v>
      </c>
      <c r="B4" s="1294"/>
      <c r="C4" s="1294"/>
      <c r="D4" s="1294"/>
      <c r="E4" s="1294"/>
      <c r="F4" s="1295"/>
      <c r="G4" s="1282" t="str">
        <f>IF(基本情報入力シート!L21="","",基本情報入力シート!L21)</f>
        <v>○○ケアサービス</v>
      </c>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01"/>
    </row>
    <row r="5" spans="1:55" s="29" customFormat="1" ht="14.25" customHeight="1">
      <c r="A5" s="1296" t="s">
        <v>178</v>
      </c>
      <c r="B5" s="1297"/>
      <c r="C5" s="1297"/>
      <c r="D5" s="1297"/>
      <c r="E5" s="1297"/>
      <c r="F5" s="1298"/>
      <c r="G5" s="1284" t="str">
        <f>IF(基本情報入力シート!L22="","",基本情報入力シート!L22)</f>
        <v>○○ケアサービス</v>
      </c>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01"/>
    </row>
    <row r="6" spans="1:55" s="29" customFormat="1" ht="12.75" customHeight="1">
      <c r="A6" s="889" t="s">
        <v>179</v>
      </c>
      <c r="B6" s="890"/>
      <c r="C6" s="890"/>
      <c r="D6" s="890"/>
      <c r="E6" s="890"/>
      <c r="F6" s="1277"/>
      <c r="G6" s="108" t="s">
        <v>16</v>
      </c>
      <c r="H6" s="1278" t="str">
        <f>IF(基本情報入力シート!AM24="－","",基本情報入力シート!AM24)</f>
        <v>630-8501</v>
      </c>
      <c r="I6" s="1278"/>
      <c r="J6" s="1278"/>
      <c r="K6" s="1278"/>
      <c r="L6" s="1278"/>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 customHeight="1">
      <c r="A7" s="1273"/>
      <c r="B7" s="1274"/>
      <c r="C7" s="1274"/>
      <c r="D7" s="1274"/>
      <c r="E7" s="1274"/>
      <c r="F7" s="1275"/>
      <c r="G7" s="1286" t="str">
        <f>IF(基本情報入力シート!L24="","",基本情報入力シート!L24)</f>
        <v>奈良県奈良市１－１－１</v>
      </c>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01"/>
    </row>
    <row r="8" spans="1:55" s="29" customFormat="1" ht="11.4" customHeight="1">
      <c r="A8" s="1273"/>
      <c r="B8" s="1274"/>
      <c r="C8" s="1274"/>
      <c r="D8" s="1274"/>
      <c r="E8" s="1274"/>
      <c r="F8" s="1275"/>
      <c r="G8" s="1288" t="str">
        <f>IF(基本情報入力シート!L25="","",基本情報入力シート!L25)</f>
        <v>○○ビル○○号室</v>
      </c>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89"/>
      <c r="AF8" s="1289"/>
      <c r="AG8" s="1289"/>
      <c r="AH8" s="1289"/>
      <c r="AI8" s="1289"/>
      <c r="AJ8" s="101"/>
    </row>
    <row r="9" spans="1:55" s="29" customFormat="1" ht="13.5" customHeight="1">
      <c r="A9" s="1279" t="s">
        <v>13</v>
      </c>
      <c r="B9" s="1280"/>
      <c r="C9" s="1280"/>
      <c r="D9" s="1280"/>
      <c r="E9" s="1280"/>
      <c r="F9" s="1281"/>
      <c r="G9" s="1268" t="str">
        <f>IF(基本情報入力シート!L29="","",基本情報入力シート!L29)</f>
        <v>コウロウ タロウ</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01"/>
    </row>
    <row r="10" spans="1:55" s="29" customFormat="1">
      <c r="A10" s="1273" t="s">
        <v>180</v>
      </c>
      <c r="B10" s="1274"/>
      <c r="C10" s="1274"/>
      <c r="D10" s="1274"/>
      <c r="E10" s="1274"/>
      <c r="F10" s="1275"/>
      <c r="G10" s="1270" t="str">
        <f>IF(基本情報入力シート!L30="","",基本情報入力シート!L30)</f>
        <v>厚労 太郎</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01"/>
    </row>
    <row r="11" spans="1:55" s="29" customFormat="1" ht="13.5" customHeight="1">
      <c r="A11" s="1276" t="s">
        <v>181</v>
      </c>
      <c r="B11" s="1276"/>
      <c r="C11" s="1276"/>
      <c r="D11" s="1276"/>
      <c r="E11" s="1276"/>
      <c r="F11" s="1276"/>
      <c r="G11" s="1026" t="s">
        <v>27</v>
      </c>
      <c r="H11" s="1027"/>
      <c r="I11" s="1027"/>
      <c r="J11" s="1027"/>
      <c r="K11" s="1299" t="str">
        <f>IF(基本情報入力シート!L31="","",基本情報入力シート!L31)</f>
        <v>000-0000-0000</v>
      </c>
      <c r="L11" s="1300"/>
      <c r="M11" s="1300"/>
      <c r="N11" s="1300"/>
      <c r="O11" s="1300"/>
      <c r="P11" s="1300"/>
      <c r="Q11" s="1300"/>
      <c r="R11" s="1300"/>
      <c r="S11" s="1300"/>
      <c r="T11" s="1301"/>
      <c r="U11" s="1290" t="s">
        <v>28</v>
      </c>
      <c r="V11" s="1291"/>
      <c r="W11" s="1291"/>
      <c r="X11" s="1292"/>
      <c r="Y11" s="1299" t="str">
        <f>IF(基本情報入力シート!L32="","",基本情報入力シート!L32)</f>
        <v>aaa@aaa,com</v>
      </c>
      <c r="Z11" s="1300"/>
      <c r="AA11" s="1300"/>
      <c r="AB11" s="1300"/>
      <c r="AC11" s="1300"/>
      <c r="AD11" s="1300"/>
      <c r="AE11" s="1300"/>
      <c r="AF11" s="1300"/>
      <c r="AG11" s="1300"/>
      <c r="AH11" s="1300"/>
      <c r="AI11" s="1300"/>
      <c r="AJ11" s="101"/>
      <c r="AT11" s="30"/>
      <c r="AU11" s="30"/>
    </row>
    <row r="12" spans="1:55" s="29" customFormat="1" ht="7.2"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 customHeight="1" thickBot="1">
      <c r="A13" s="204"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249" t="str">
        <f>IF(G5="", "", IF(AND(OR(A15="✓", A16="✓", A17="✓"), OR(A19="✓",AND(A20="✓", M21&lt;&gt;""))), "○", "×"))</f>
        <v>○</v>
      </c>
      <c r="AI13" s="1250"/>
      <c r="AK13" s="1262" t="s">
        <v>414</v>
      </c>
      <c r="AL13" s="1263"/>
      <c r="AM13" s="1263"/>
      <c r="AN13" s="1263"/>
      <c r="AO13" s="1263"/>
      <c r="AP13" s="1263"/>
      <c r="AQ13" s="1263"/>
      <c r="AR13" s="1263"/>
      <c r="AS13" s="1263"/>
      <c r="AT13" s="1263"/>
      <c r="AU13" s="1263"/>
      <c r="AV13" s="1264"/>
    </row>
    <row r="14" spans="1:55" ht="27.6" customHeight="1" thickBot="1">
      <c r="A14" s="1272" t="s">
        <v>415</v>
      </c>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8"/>
      <c r="AJ14" s="64"/>
      <c r="AR14" s="31"/>
    </row>
    <row r="15" spans="1:55" ht="19.95" customHeight="1">
      <c r="A15" s="142" t="s">
        <v>2668</v>
      </c>
      <c r="B15" s="1317" t="s">
        <v>416</v>
      </c>
      <c r="C15" s="1317"/>
      <c r="D15" s="1317"/>
      <c r="E15" s="1317"/>
      <c r="F15" s="1317"/>
      <c r="G15" s="1317"/>
      <c r="H15" s="1317"/>
      <c r="I15" s="1317"/>
      <c r="J15" s="1317"/>
      <c r="K15" s="1317"/>
      <c r="L15" s="1317"/>
      <c r="M15" s="1317"/>
      <c r="N15" s="1317"/>
      <c r="O15" s="1317"/>
      <c r="P15" s="1317"/>
      <c r="Q15" s="1317"/>
      <c r="R15" s="1317"/>
      <c r="S15" s="1317"/>
      <c r="T15" s="1317"/>
      <c r="U15" s="1317"/>
      <c r="V15" s="1317"/>
      <c r="W15" s="1317"/>
      <c r="X15" s="1317"/>
      <c r="Y15" s="1317"/>
      <c r="Z15" s="1317"/>
      <c r="AA15" s="1317"/>
      <c r="AB15" s="1317"/>
      <c r="AC15" s="1317"/>
      <c r="AD15" s="1317"/>
      <c r="AE15" s="1317"/>
      <c r="AF15" s="1317"/>
      <c r="AG15" s="1317"/>
      <c r="AH15" s="1317"/>
      <c r="AI15" s="1320"/>
      <c r="AJ15" s="64"/>
      <c r="AR15" s="31"/>
    </row>
    <row r="16" spans="1:55" ht="19.95" customHeight="1">
      <c r="A16" s="140" t="s">
        <v>2668</v>
      </c>
      <c r="B16" s="1247" t="s">
        <v>417</v>
      </c>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8"/>
      <c r="AJ16" s="64"/>
      <c r="AR16" s="31"/>
    </row>
    <row r="17" spans="1:48" ht="19.95" customHeight="1" thickBot="1">
      <c r="A17" s="141"/>
      <c r="B17" s="1247" t="s">
        <v>418</v>
      </c>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8"/>
      <c r="AJ17" s="64"/>
      <c r="AR17" s="31"/>
    </row>
    <row r="18" spans="1:48" ht="27.6" customHeight="1" thickBot="1">
      <c r="A18" s="1321" t="s">
        <v>419</v>
      </c>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8"/>
      <c r="AJ18" s="64"/>
      <c r="AR18" s="31"/>
    </row>
    <row r="19" spans="1:48" ht="19.95" customHeight="1">
      <c r="A19" s="142" t="s">
        <v>2668</v>
      </c>
      <c r="B19" s="1247" t="s">
        <v>420</v>
      </c>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8"/>
      <c r="AJ19" s="64"/>
      <c r="AR19" s="31"/>
    </row>
    <row r="20" spans="1:48" ht="19.95" customHeight="1" thickBot="1">
      <c r="A20" s="141"/>
      <c r="B20" s="791" t="s">
        <v>421</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9"/>
      <c r="AJ20" s="64"/>
      <c r="AR20" s="31"/>
    </row>
    <row r="21" spans="1:48" ht="29.4" customHeight="1" thickBot="1">
      <c r="A21" s="1260" t="s">
        <v>422</v>
      </c>
      <c r="B21" s="1261"/>
      <c r="C21" s="1261"/>
      <c r="D21" s="1261"/>
      <c r="E21" s="1261"/>
      <c r="F21" s="1261"/>
      <c r="G21" s="1261"/>
      <c r="H21" s="1261"/>
      <c r="I21" s="1261"/>
      <c r="J21" s="1261"/>
      <c r="K21" s="1261"/>
      <c r="L21" s="1261"/>
      <c r="M21" s="1265" t="s">
        <v>423</v>
      </c>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64"/>
      <c r="AR21" s="31"/>
    </row>
    <row r="22" spans="1:48" ht="105.6" customHeight="1">
      <c r="A22" s="1028" t="s">
        <v>2534</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8" t="s">
        <v>424</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59"/>
    </row>
    <row r="25" spans="1:48" ht="17.25" customHeight="1" thickBot="1">
      <c r="A25" s="1317" t="s">
        <v>281</v>
      </c>
      <c r="B25" s="1317"/>
      <c r="C25" s="1317"/>
      <c r="D25" s="1317"/>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c r="AG25" s="1318"/>
      <c r="AH25" s="1245" t="str" cm="1">
        <f t="array" ref="AH25">IF(G5="", "", IF(AND(PRODUCT((A28:A33="✓")*1), OR(A19="", AND(A19="✓", A27="✓"))),"○","×"))</f>
        <v>○</v>
      </c>
      <c r="AI25" s="1246"/>
      <c r="AJ25" s="39"/>
      <c r="AK25" s="1242" t="s">
        <v>425</v>
      </c>
      <c r="AL25" s="1243"/>
      <c r="AM25" s="1243"/>
      <c r="AN25" s="1243"/>
      <c r="AO25" s="1243"/>
      <c r="AP25" s="1243"/>
      <c r="AQ25" s="1243"/>
      <c r="AR25" s="1243"/>
      <c r="AS25" s="1243"/>
      <c r="AT25" s="1243"/>
      <c r="AU25" s="1243"/>
      <c r="AV25" s="1244"/>
    </row>
    <row r="26" spans="1:48" ht="14.25" customHeight="1" thickBot="1">
      <c r="A26" s="1257" t="s">
        <v>426</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322" t="s">
        <v>427</v>
      </c>
      <c r="AB26" s="1323"/>
      <c r="AC26" s="1323"/>
      <c r="AD26" s="1323"/>
      <c r="AE26" s="1323"/>
      <c r="AF26" s="1323"/>
      <c r="AG26" s="1323"/>
      <c r="AH26" s="1324"/>
      <c r="AI26" s="1325"/>
      <c r="AJ26" s="59"/>
      <c r="AL26" s="32"/>
    </row>
    <row r="27" spans="1:48" ht="19.95" customHeight="1" thickBot="1">
      <c r="A27" s="142" t="s">
        <v>2668</v>
      </c>
      <c r="B27" s="1053" t="s">
        <v>428</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291</v>
      </c>
      <c r="AB27" s="941"/>
      <c r="AC27" s="941"/>
      <c r="AD27" s="941"/>
      <c r="AE27" s="941"/>
      <c r="AF27" s="941"/>
      <c r="AG27" s="941"/>
      <c r="AH27" s="941"/>
      <c r="AI27" s="941"/>
      <c r="AJ27" s="66"/>
    </row>
    <row r="28" spans="1:48" ht="30" customHeight="1" thickBot="1">
      <c r="A28" s="142" t="s">
        <v>2668</v>
      </c>
      <c r="B28" s="1053" t="s">
        <v>429</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56" t="s">
        <v>430</v>
      </c>
      <c r="AB28" s="1256"/>
      <c r="AC28" s="1256"/>
      <c r="AD28" s="1256"/>
      <c r="AE28" s="1256"/>
      <c r="AF28" s="1256"/>
      <c r="AG28" s="1256"/>
      <c r="AH28" s="1256"/>
      <c r="AI28" s="1256"/>
      <c r="AJ28" s="66"/>
    </row>
    <row r="29" spans="1:48" ht="30" customHeight="1" thickBot="1">
      <c r="A29" s="142" t="s">
        <v>2668</v>
      </c>
      <c r="B29" s="1304" t="s">
        <v>431</v>
      </c>
      <c r="C29" s="1304"/>
      <c r="D29" s="1304"/>
      <c r="E29" s="1304"/>
      <c r="F29" s="1304"/>
      <c r="G29" s="1304"/>
      <c r="H29" s="1304"/>
      <c r="I29" s="1304"/>
      <c r="J29" s="1304"/>
      <c r="K29" s="1304"/>
      <c r="L29" s="1304"/>
      <c r="M29" s="1304"/>
      <c r="N29" s="1304"/>
      <c r="O29" s="1304"/>
      <c r="P29" s="1304"/>
      <c r="Q29" s="1304"/>
      <c r="R29" s="1304"/>
      <c r="S29" s="1304"/>
      <c r="T29" s="1304"/>
      <c r="U29" s="1304"/>
      <c r="V29" s="1304"/>
      <c r="W29" s="1304"/>
      <c r="X29" s="1304"/>
      <c r="Y29" s="1304"/>
      <c r="Z29" s="1305"/>
      <c r="AA29" s="1256" t="s">
        <v>432</v>
      </c>
      <c r="AB29" s="1256"/>
      <c r="AC29" s="1256"/>
      <c r="AD29" s="1256"/>
      <c r="AE29" s="1256"/>
      <c r="AF29" s="1256"/>
      <c r="AG29" s="1256"/>
      <c r="AH29" s="1256"/>
      <c r="AI29" s="1256"/>
      <c r="AJ29" s="39"/>
    </row>
    <row r="30" spans="1:48" ht="30" customHeight="1" thickBot="1">
      <c r="A30" s="142" t="s">
        <v>2668</v>
      </c>
      <c r="B30" s="1053" t="s">
        <v>290</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291</v>
      </c>
      <c r="AB30" s="941"/>
      <c r="AC30" s="941"/>
      <c r="AD30" s="941"/>
      <c r="AE30" s="941"/>
      <c r="AF30" s="941"/>
      <c r="AG30" s="941"/>
      <c r="AH30" s="941"/>
      <c r="AI30" s="941"/>
      <c r="AJ30" s="39"/>
      <c r="AK30" s="32"/>
    </row>
    <row r="31" spans="1:48" ht="30" customHeight="1" thickBot="1">
      <c r="A31" s="142" t="s">
        <v>2668</v>
      </c>
      <c r="B31" s="1053" t="s">
        <v>292</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56" t="s">
        <v>293</v>
      </c>
      <c r="AB31" s="1256"/>
      <c r="AC31" s="1256"/>
      <c r="AD31" s="1256"/>
      <c r="AE31" s="1256"/>
      <c r="AF31" s="1256"/>
      <c r="AG31" s="1256"/>
      <c r="AH31" s="1256"/>
      <c r="AI31" s="1256"/>
      <c r="AJ31" s="39"/>
      <c r="AK31" s="32"/>
      <c r="AL31" s="33"/>
    </row>
    <row r="32" spans="1:48" ht="19.95" customHeight="1" thickBot="1">
      <c r="A32" s="142" t="s">
        <v>2668</v>
      </c>
      <c r="B32" s="1304" t="s">
        <v>433</v>
      </c>
      <c r="C32" s="1304"/>
      <c r="D32" s="1304"/>
      <c r="E32" s="1304"/>
      <c r="F32" s="1304"/>
      <c r="G32" s="1304"/>
      <c r="H32" s="1304"/>
      <c r="I32" s="1304"/>
      <c r="J32" s="1304"/>
      <c r="K32" s="1304"/>
      <c r="L32" s="1304"/>
      <c r="M32" s="1304"/>
      <c r="N32" s="1304"/>
      <c r="O32" s="1304"/>
      <c r="P32" s="1304"/>
      <c r="Q32" s="1304"/>
      <c r="R32" s="1304"/>
      <c r="S32" s="1304"/>
      <c r="T32" s="1304"/>
      <c r="U32" s="1304"/>
      <c r="V32" s="1304"/>
      <c r="W32" s="1304"/>
      <c r="X32" s="1304"/>
      <c r="Y32" s="1304"/>
      <c r="Z32" s="1305"/>
      <c r="AA32" s="954" t="s">
        <v>295</v>
      </c>
      <c r="AB32" s="954"/>
      <c r="AC32" s="954"/>
      <c r="AD32" s="954"/>
      <c r="AE32" s="954"/>
      <c r="AF32" s="954"/>
      <c r="AG32" s="954"/>
      <c r="AH32" s="954"/>
      <c r="AI32" s="954"/>
      <c r="AJ32" s="39"/>
      <c r="AK32" s="32"/>
      <c r="AL32" s="33"/>
    </row>
    <row r="33" spans="1:53" ht="19.95" customHeight="1">
      <c r="A33" s="142" t="s">
        <v>2668</v>
      </c>
      <c r="B33" s="1247" t="s">
        <v>434</v>
      </c>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8"/>
      <c r="AA33" s="941" t="s">
        <v>291</v>
      </c>
      <c r="AB33" s="941"/>
      <c r="AC33" s="941"/>
      <c r="AD33" s="941"/>
      <c r="AE33" s="941"/>
      <c r="AF33" s="941"/>
      <c r="AG33" s="941"/>
      <c r="AH33" s="941"/>
      <c r="AI33" s="941"/>
      <c r="AJ33" s="39"/>
      <c r="AK33" s="32"/>
      <c r="AL33" s="33"/>
    </row>
    <row r="34" spans="1:53" s="59" customFormat="1" ht="10.199999999999999"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5"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9" t="str">
        <f>IF(G5="", "", IF(AND(B37="✓",G40&lt;&gt;"",J40&lt;&gt;""),"○","×"))</f>
        <v>○</v>
      </c>
      <c r="AI35" s="1250"/>
      <c r="AJ35" s="37"/>
      <c r="AK35" s="876" t="s">
        <v>435</v>
      </c>
      <c r="AL35" s="877"/>
      <c r="AM35" s="877"/>
      <c r="AN35" s="877"/>
      <c r="AO35" s="877"/>
      <c r="AP35" s="877"/>
      <c r="AQ35" s="877"/>
      <c r="AR35" s="877"/>
      <c r="AS35" s="877"/>
      <c r="AT35" s="877"/>
      <c r="AU35" s="877"/>
      <c r="AV35" s="878"/>
      <c r="AW35" s="92"/>
    </row>
    <row r="36" spans="1:53" ht="10.199999999999999"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3" t="s">
        <v>2668</v>
      </c>
      <c r="C37" s="1306" t="s">
        <v>436</v>
      </c>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307"/>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399999999999999" customHeight="1" thickBot="1">
      <c r="A40" s="43"/>
      <c r="B40" s="44" t="s">
        <v>301</v>
      </c>
      <c r="C40" s="44"/>
      <c r="D40" s="865">
        <v>7</v>
      </c>
      <c r="E40" s="1253"/>
      <c r="F40" s="44" t="s">
        <v>302</v>
      </c>
      <c r="G40" s="1251">
        <v>4</v>
      </c>
      <c r="H40" s="1252"/>
      <c r="I40" s="44" t="s">
        <v>303</v>
      </c>
      <c r="J40" s="1251">
        <v>1</v>
      </c>
      <c r="K40" s="1252"/>
      <c r="L40" s="44" t="s">
        <v>304</v>
      </c>
      <c r="M40" s="39"/>
      <c r="N40" s="865" t="s">
        <v>178</v>
      </c>
      <c r="O40" s="865"/>
      <c r="P40" s="865"/>
      <c r="Q40" s="1311" t="str">
        <f>IF(G5="","",G5)</f>
        <v>○○ケアサービス</v>
      </c>
      <c r="R40" s="1311"/>
      <c r="S40" s="1311"/>
      <c r="T40" s="1311"/>
      <c r="U40" s="1311"/>
      <c r="V40" s="1311"/>
      <c r="W40" s="1311"/>
      <c r="X40" s="1311"/>
      <c r="Y40" s="1311"/>
      <c r="Z40" s="1311"/>
      <c r="AA40" s="1311"/>
      <c r="AB40" s="1311"/>
      <c r="AC40" s="1311"/>
      <c r="AD40" s="1311"/>
      <c r="AE40" s="1311"/>
      <c r="AF40" s="1311"/>
      <c r="AG40" s="1311"/>
      <c r="AH40" s="1311"/>
      <c r="AI40" s="42"/>
      <c r="AJ40" s="37"/>
    </row>
    <row r="41" spans="1:53" s="33" customFormat="1" ht="18" customHeight="1">
      <c r="A41" s="43"/>
      <c r="B41" s="45"/>
      <c r="C41" s="44"/>
      <c r="D41" s="44"/>
      <c r="E41" s="44"/>
      <c r="F41" s="44"/>
      <c r="G41" s="44"/>
      <c r="H41" s="44"/>
      <c r="I41" s="44"/>
      <c r="J41" s="44"/>
      <c r="K41" s="44"/>
      <c r="L41" s="44"/>
      <c r="M41" s="44"/>
      <c r="N41" s="1023" t="s">
        <v>305</v>
      </c>
      <c r="O41" s="1023"/>
      <c r="P41" s="1023"/>
      <c r="Q41" s="850" t="s">
        <v>22</v>
      </c>
      <c r="R41" s="850"/>
      <c r="S41" s="1303" t="str">
        <f>IF(基本情報入力シート!L26="", "", 基本情報入力シート!L26)</f>
        <v>代表取締役</v>
      </c>
      <c r="T41" s="1303"/>
      <c r="U41" s="1303"/>
      <c r="V41" s="1303"/>
      <c r="W41" s="1303"/>
      <c r="X41" s="1022"/>
      <c r="Y41" s="1022"/>
      <c r="Z41" s="1303" t="str">
        <f>IF(基本情報入力シート!L27="", "", 基本情報入力シート!L27)</f>
        <v>厚労 花子</v>
      </c>
      <c r="AA41" s="1303"/>
      <c r="AB41" s="1303"/>
      <c r="AC41" s="1303"/>
      <c r="AD41" s="1303"/>
      <c r="AE41" s="1303"/>
      <c r="AF41" s="1303"/>
      <c r="AG41" s="1303"/>
      <c r="AH41" s="1303"/>
      <c r="AI41" s="42"/>
      <c r="AJ41" s="37"/>
    </row>
    <row r="42" spans="1:53" s="33" customFormat="1" ht="10.199999999999999"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316" t="s">
        <v>437</v>
      </c>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c r="AD43" s="1316"/>
      <c r="AE43" s="1316"/>
      <c r="AF43" s="1316"/>
      <c r="AG43" s="1316"/>
      <c r="AH43" s="1316"/>
      <c r="AI43" s="1316"/>
      <c r="AJ43" s="103"/>
      <c r="AK43" s="198"/>
      <c r="AL43" s="198"/>
      <c r="AM43" s="198"/>
      <c r="AN43" s="198"/>
      <c r="AO43" s="198"/>
      <c r="AP43" s="198"/>
      <c r="AQ43" s="198"/>
      <c r="AR43" s="198"/>
      <c r="AS43" s="198"/>
      <c r="AT43" s="198"/>
      <c r="AU43" s="198"/>
      <c r="AV43" s="198"/>
      <c r="AW43" s="198"/>
      <c r="AX43" s="198"/>
      <c r="AY43" s="198"/>
      <c r="AZ43" s="198"/>
    </row>
    <row r="44" spans="1:53" ht="4.2"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308" t="s">
        <v>440</v>
      </c>
      <c r="B48" s="1309"/>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309"/>
      <c r="AF48" s="1309"/>
      <c r="AG48" s="1309"/>
      <c r="AH48" s="1309"/>
      <c r="AI48" s="1309"/>
      <c r="AJ48" s="1310"/>
      <c r="BA48" s="92" t="s">
        <v>441</v>
      </c>
    </row>
    <row r="49" spans="1:53">
      <c r="A49" s="1314" t="s">
        <v>442</v>
      </c>
      <c r="B49" s="1315"/>
      <c r="C49" s="1315"/>
      <c r="D49" s="1315"/>
      <c r="E49" s="1315"/>
      <c r="F49" s="1315"/>
      <c r="G49" s="1315"/>
      <c r="H49" s="1315"/>
      <c r="I49" s="1315"/>
      <c r="J49" s="1315"/>
      <c r="K49" s="1315"/>
      <c r="L49" s="1315"/>
      <c r="M49" s="1315"/>
      <c r="N49" s="1315"/>
      <c r="O49" s="1315"/>
      <c r="P49" s="1315"/>
      <c r="Q49" s="1315"/>
      <c r="R49" s="1315"/>
      <c r="S49" s="1315"/>
      <c r="T49" s="1315"/>
      <c r="U49" s="1315"/>
      <c r="V49" s="1315"/>
      <c r="W49" s="1315"/>
      <c r="X49" s="1315"/>
      <c r="Y49" s="1315"/>
      <c r="Z49" s="1315"/>
      <c r="AA49" s="1315"/>
      <c r="AB49" s="1315"/>
      <c r="AC49" s="1315"/>
      <c r="AD49" s="1315"/>
      <c r="AE49" s="1302" t="str">
        <f>IF(G5="", "", IF(AH13="○", "〇", "×"))</f>
        <v>〇</v>
      </c>
      <c r="AF49" s="1302"/>
      <c r="AG49" s="1302"/>
      <c r="AH49" s="1302"/>
      <c r="AI49" s="1302"/>
      <c r="AJ49" s="1302"/>
      <c r="BA49" s="92">
        <f>COUNTIF(A49:AJ54, "×")</f>
        <v>0</v>
      </c>
    </row>
    <row r="50" spans="1:53" ht="15" customHeight="1">
      <c r="A50" s="1308" t="s">
        <v>443</v>
      </c>
      <c r="B50" s="1309"/>
      <c r="C50" s="1309"/>
      <c r="D50" s="1309"/>
      <c r="E50" s="1309"/>
      <c r="F50" s="1309"/>
      <c r="G50" s="1309"/>
      <c r="H50" s="1309"/>
      <c r="I50" s="1309"/>
      <c r="J50" s="1309"/>
      <c r="K50" s="1309"/>
      <c r="L50" s="1309"/>
      <c r="M50" s="1309"/>
      <c r="N50" s="1309"/>
      <c r="O50" s="1309"/>
      <c r="P50" s="1309"/>
      <c r="Q50" s="1309"/>
      <c r="R50" s="1309"/>
      <c r="S50" s="1309"/>
      <c r="T50" s="1309"/>
      <c r="U50" s="1309"/>
      <c r="V50" s="1309"/>
      <c r="W50" s="1309"/>
      <c r="X50" s="1309"/>
      <c r="Y50" s="1309"/>
      <c r="Z50" s="1309"/>
      <c r="AA50" s="1309"/>
      <c r="AB50" s="1309"/>
      <c r="AC50" s="1309"/>
      <c r="AD50" s="1309"/>
      <c r="AE50" s="1309"/>
      <c r="AF50" s="1309"/>
      <c r="AG50" s="1309"/>
      <c r="AH50" s="1309"/>
      <c r="AI50" s="1309"/>
      <c r="AJ50" s="1310"/>
    </row>
    <row r="51" spans="1:53">
      <c r="A51" s="1238" t="s">
        <v>444</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302" t="str">
        <f>AH25</f>
        <v>○</v>
      </c>
      <c r="AF51" s="1302"/>
      <c r="AG51" s="1302"/>
      <c r="AH51" s="1302"/>
      <c r="AI51" s="1302"/>
      <c r="AJ51" s="1302"/>
    </row>
    <row r="52" spans="1:53">
      <c r="A52" s="1312" t="s">
        <v>445</v>
      </c>
      <c r="B52" s="1313"/>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02" t="str">
        <f>AH35</f>
        <v>○</v>
      </c>
      <c r="AF52" s="1302"/>
      <c r="AG52" s="1302"/>
      <c r="AH52" s="1302"/>
      <c r="AI52" s="1302"/>
      <c r="AJ52" s="1302"/>
    </row>
    <row r="53" spans="1:53" ht="15" customHeight="1">
      <c r="A53" s="1308" t="s">
        <v>2576</v>
      </c>
      <c r="B53" s="1309"/>
      <c r="C53" s="1309"/>
      <c r="D53" s="1309"/>
      <c r="E53" s="1309"/>
      <c r="F53" s="1309"/>
      <c r="G53" s="1309"/>
      <c r="H53" s="1309"/>
      <c r="I53" s="1309"/>
      <c r="J53" s="1309"/>
      <c r="K53" s="1309"/>
      <c r="L53" s="1309"/>
      <c r="M53" s="1309"/>
      <c r="N53" s="1309"/>
      <c r="O53" s="1309"/>
      <c r="P53" s="1309"/>
      <c r="Q53" s="1309"/>
      <c r="R53" s="1309"/>
      <c r="S53" s="1309"/>
      <c r="T53" s="1309"/>
      <c r="U53" s="1309"/>
      <c r="V53" s="1309"/>
      <c r="W53" s="1309"/>
      <c r="X53" s="1309"/>
      <c r="Y53" s="1309"/>
      <c r="Z53" s="1309"/>
      <c r="AA53" s="1309"/>
      <c r="AB53" s="1309"/>
      <c r="AC53" s="1309"/>
      <c r="AD53" s="1309"/>
      <c r="AE53" s="1309"/>
      <c r="AF53" s="1309"/>
      <c r="AG53" s="1309"/>
      <c r="AH53" s="1309"/>
      <c r="AI53" s="1309"/>
      <c r="AJ53" s="1310"/>
    </row>
    <row r="54" spans="1:53">
      <c r="A54" s="1238" t="s">
        <v>446</v>
      </c>
      <c r="B54" s="1239"/>
      <c r="C54" s="1239"/>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302" t="str">
        <f>'2-4（補助金 個表） '!R10</f>
        <v>○</v>
      </c>
      <c r="AF54" s="1302"/>
      <c r="AG54" s="1302"/>
      <c r="AH54" s="1302"/>
      <c r="AI54" s="1302"/>
      <c r="AJ54" s="1302"/>
      <c r="AR54" s="377"/>
    </row>
    <row r="55" spans="1:53" ht="14.4" customHeight="1">
      <c r="A55" s="99"/>
      <c r="B55" s="99"/>
      <c r="C55" s="99"/>
      <c r="D55" s="99"/>
      <c r="E55" s="99"/>
      <c r="F55" s="99"/>
      <c r="G55" s="99"/>
      <c r="H55" s="99"/>
      <c r="I55" s="99"/>
      <c r="J55" s="99"/>
      <c r="K55" s="99"/>
      <c r="L55" s="614"/>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2" customHeight="1"/>
    <row r="59" spans="1:53" s="53" customFormat="1" ht="29.4" customHeight="1"/>
    <row r="60" spans="1:53" ht="13.95" customHeight="1"/>
    <row r="61" spans="1:53" ht="13.95" customHeight="1"/>
    <row r="62" spans="1:53" ht="13.95" customHeight="1">
      <c r="A62" s="1237"/>
      <c r="B62" s="1237"/>
      <c r="C62" s="1241"/>
      <c r="D62" s="1241"/>
      <c r="E62" s="1241"/>
      <c r="F62" s="1241"/>
      <c r="G62" s="1241"/>
      <c r="H62" s="1240"/>
      <c r="I62" s="1240"/>
      <c r="J62" s="1240"/>
      <c r="K62" s="1240"/>
      <c r="L62" s="1240"/>
      <c r="M62" s="1240"/>
      <c r="N62" s="1240"/>
      <c r="O62" s="1240"/>
      <c r="P62" s="1240"/>
      <c r="Q62" s="1240"/>
      <c r="R62" s="1240"/>
      <c r="S62" s="1240"/>
      <c r="T62" s="1236"/>
      <c r="U62" s="1236"/>
      <c r="V62" s="1236"/>
      <c r="W62" s="1236"/>
      <c r="X62" s="1236"/>
      <c r="Y62" s="1236"/>
      <c r="Z62" s="1236"/>
      <c r="AA62" s="1236"/>
      <c r="AB62" s="1236"/>
      <c r="AC62" s="1236"/>
      <c r="AD62" s="1236"/>
      <c r="AE62" s="1236"/>
      <c r="AF62" s="1236"/>
      <c r="AG62" s="1236"/>
      <c r="AH62" s="1236"/>
      <c r="AI62" s="1236"/>
      <c r="AJ62" s="1236"/>
    </row>
    <row r="63" spans="1:53" ht="13.95" customHeight="1">
      <c r="A63" s="1237"/>
      <c r="B63" s="1237"/>
      <c r="C63" s="1241"/>
      <c r="D63" s="1241"/>
      <c r="E63" s="1241"/>
      <c r="F63" s="1241"/>
      <c r="G63" s="1241"/>
      <c r="H63" s="1240"/>
      <c r="I63" s="1240"/>
      <c r="J63" s="1240"/>
      <c r="K63" s="1240"/>
      <c r="L63" s="1240"/>
      <c r="M63" s="1240"/>
      <c r="N63" s="1240"/>
      <c r="O63" s="1240"/>
      <c r="P63" s="1240"/>
      <c r="Q63" s="1240"/>
      <c r="R63" s="1240"/>
      <c r="S63" s="1240"/>
      <c r="T63" s="1236"/>
      <c r="U63" s="1236"/>
      <c r="V63" s="1236"/>
      <c r="W63" s="1236"/>
      <c r="X63" s="1236"/>
      <c r="Y63" s="1236"/>
      <c r="Z63" s="1236"/>
      <c r="AA63" s="1236"/>
      <c r="AB63" s="1236"/>
      <c r="AC63" s="1236"/>
      <c r="AD63" s="1236"/>
      <c r="AE63" s="1236"/>
      <c r="AF63" s="1236"/>
      <c r="AG63" s="1236"/>
      <c r="AH63" s="1236"/>
      <c r="AI63" s="1236"/>
      <c r="AJ63" s="1236"/>
    </row>
    <row r="64" spans="1:53" ht="13.95" customHeight="1">
      <c r="A64" s="1237"/>
      <c r="B64" s="1237"/>
      <c r="C64" s="1241"/>
      <c r="D64" s="1241"/>
      <c r="E64" s="1241"/>
      <c r="F64" s="1241"/>
      <c r="G64" s="1241"/>
      <c r="H64" s="1240"/>
      <c r="I64" s="1240"/>
      <c r="J64" s="1240"/>
      <c r="K64" s="1240"/>
      <c r="L64" s="1240"/>
      <c r="M64" s="1240"/>
      <c r="N64" s="1240"/>
      <c r="O64" s="1240"/>
      <c r="P64" s="1240"/>
      <c r="Q64" s="1240"/>
      <c r="R64" s="1240"/>
      <c r="S64" s="1240"/>
      <c r="T64" s="1236"/>
      <c r="U64" s="1236"/>
      <c r="V64" s="1236"/>
      <c r="W64" s="1236"/>
      <c r="X64" s="1236"/>
      <c r="Y64" s="1236"/>
      <c r="Z64" s="1236"/>
      <c r="AA64" s="1236"/>
      <c r="AB64" s="1236"/>
      <c r="AC64" s="1236"/>
      <c r="AD64" s="1236"/>
      <c r="AE64" s="1236"/>
      <c r="AF64" s="1236"/>
      <c r="AG64" s="1236"/>
      <c r="AH64" s="1236"/>
      <c r="AI64" s="1236"/>
      <c r="AJ64" s="1236"/>
    </row>
    <row r="65" spans="1:36" ht="13.95" customHeight="1">
      <c r="A65" s="1237"/>
      <c r="B65" s="1237"/>
      <c r="C65" s="1241"/>
      <c r="D65" s="1241"/>
      <c r="E65" s="1241"/>
      <c r="F65" s="1241"/>
      <c r="G65" s="1241"/>
      <c r="H65" s="1240"/>
      <c r="I65" s="1240"/>
      <c r="J65" s="1240"/>
      <c r="K65" s="1240"/>
      <c r="L65" s="1240"/>
      <c r="M65" s="1240"/>
      <c r="N65" s="1240"/>
      <c r="O65" s="1240"/>
      <c r="P65" s="1240"/>
      <c r="Q65" s="1240"/>
      <c r="R65" s="1240"/>
      <c r="S65" s="1240"/>
      <c r="T65" s="1236"/>
      <c r="U65" s="1236"/>
      <c r="V65" s="1236"/>
      <c r="W65" s="1236"/>
      <c r="X65" s="1236"/>
      <c r="Y65" s="1236"/>
      <c r="Z65" s="1236"/>
      <c r="AA65" s="1236"/>
      <c r="AB65" s="1236"/>
      <c r="AC65" s="1236"/>
      <c r="AD65" s="1236"/>
      <c r="AE65" s="1236"/>
      <c r="AF65" s="1236"/>
      <c r="AG65" s="1236"/>
      <c r="AH65" s="1236"/>
      <c r="AI65" s="1236"/>
      <c r="AJ65" s="1236"/>
    </row>
    <row r="66" spans="1:36" ht="13.95" customHeight="1">
      <c r="A66" s="1237"/>
      <c r="B66" s="1237"/>
      <c r="C66" s="1241"/>
      <c r="D66" s="1241"/>
      <c r="E66" s="1241"/>
      <c r="F66" s="1241"/>
      <c r="G66" s="1241"/>
      <c r="H66" s="1240"/>
      <c r="I66" s="1240"/>
      <c r="J66" s="1240"/>
      <c r="K66" s="1240"/>
      <c r="L66" s="1240"/>
      <c r="M66" s="1240"/>
      <c r="N66" s="1240"/>
      <c r="O66" s="1240"/>
      <c r="P66" s="1240"/>
      <c r="Q66" s="1240"/>
      <c r="R66" s="1240"/>
      <c r="S66" s="1240"/>
      <c r="T66" s="1236"/>
      <c r="U66" s="1236"/>
      <c r="V66" s="1236"/>
      <c r="W66" s="1236"/>
      <c r="X66" s="1236"/>
      <c r="Y66" s="1236"/>
      <c r="Z66" s="1236"/>
      <c r="AA66" s="1236"/>
      <c r="AB66" s="1236"/>
      <c r="AC66" s="1236"/>
      <c r="AD66" s="1236"/>
      <c r="AE66" s="1236"/>
      <c r="AF66" s="1236"/>
      <c r="AG66" s="1236"/>
      <c r="AH66" s="1236"/>
      <c r="AI66" s="1236"/>
      <c r="AJ66" s="1236"/>
    </row>
    <row r="67" spans="1:36" ht="13.95" customHeight="1">
      <c r="A67" s="1237"/>
      <c r="B67" s="1237"/>
      <c r="C67" s="1241"/>
      <c r="D67" s="1241"/>
      <c r="E67" s="1241"/>
      <c r="F67" s="1241"/>
      <c r="G67" s="1241"/>
      <c r="H67" s="1240"/>
      <c r="I67" s="1240"/>
      <c r="J67" s="1240"/>
      <c r="K67" s="1240"/>
      <c r="L67" s="1240"/>
      <c r="M67" s="1240"/>
      <c r="N67" s="1240"/>
      <c r="O67" s="1240"/>
      <c r="P67" s="1240"/>
      <c r="Q67" s="1240"/>
      <c r="R67" s="1240"/>
      <c r="S67" s="1240"/>
      <c r="T67" s="1236"/>
      <c r="U67" s="1236"/>
      <c r="V67" s="1236"/>
      <c r="W67" s="1236"/>
      <c r="X67" s="1236"/>
      <c r="Y67" s="1236"/>
      <c r="Z67" s="1236"/>
      <c r="AA67" s="1236"/>
      <c r="AB67" s="1236"/>
      <c r="AC67" s="1236"/>
      <c r="AD67" s="1236"/>
      <c r="AE67" s="1236"/>
      <c r="AF67" s="1236"/>
      <c r="AG67" s="1236"/>
      <c r="AH67" s="1236"/>
      <c r="AI67" s="1236"/>
      <c r="AJ67" s="1236"/>
    </row>
    <row r="68" spans="1:36" ht="13.95" customHeight="1">
      <c r="A68" s="1237"/>
      <c r="B68" s="1237"/>
      <c r="C68" s="1241"/>
      <c r="D68" s="1241"/>
      <c r="E68" s="1241"/>
      <c r="F68" s="1241"/>
      <c r="G68" s="1241"/>
      <c r="H68" s="1240"/>
      <c r="I68" s="1240"/>
      <c r="J68" s="1240"/>
      <c r="K68" s="1240"/>
      <c r="L68" s="1240"/>
      <c r="M68" s="1240"/>
      <c r="N68" s="1240"/>
      <c r="O68" s="1240"/>
      <c r="P68" s="1240"/>
      <c r="Q68" s="1240"/>
      <c r="R68" s="1240"/>
      <c r="S68" s="1240"/>
      <c r="T68" s="1236"/>
      <c r="U68" s="1236"/>
      <c r="V68" s="1236"/>
      <c r="W68" s="1236"/>
      <c r="X68" s="1236"/>
      <c r="Y68" s="1236"/>
      <c r="Z68" s="1236"/>
      <c r="AA68" s="1236"/>
      <c r="AB68" s="1236"/>
      <c r="AC68" s="1236"/>
      <c r="AD68" s="1236"/>
      <c r="AE68" s="1236"/>
      <c r="AF68" s="1236"/>
      <c r="AG68" s="1236"/>
      <c r="AH68" s="1236"/>
      <c r="AI68" s="1236"/>
      <c r="AJ68" s="1236"/>
    </row>
    <row r="69" spans="1:36" ht="13.95" customHeight="1">
      <c r="A69" s="1237"/>
      <c r="B69" s="1237"/>
      <c r="C69" s="1241"/>
      <c r="D69" s="1241"/>
      <c r="E69" s="1241"/>
      <c r="F69" s="1241"/>
      <c r="G69" s="1241"/>
      <c r="H69" s="1240"/>
      <c r="I69" s="1240"/>
      <c r="J69" s="1240"/>
      <c r="K69" s="1240"/>
      <c r="L69" s="1240"/>
      <c r="M69" s="1240"/>
      <c r="N69" s="1240"/>
      <c r="O69" s="1240"/>
      <c r="P69" s="1240"/>
      <c r="Q69" s="1240"/>
      <c r="R69" s="1240"/>
      <c r="S69" s="1240"/>
      <c r="T69" s="1236"/>
      <c r="U69" s="1236"/>
      <c r="V69" s="1236"/>
      <c r="W69" s="1236"/>
      <c r="X69" s="1236"/>
      <c r="Y69" s="1236"/>
      <c r="Z69" s="1236"/>
      <c r="AA69" s="1236"/>
      <c r="AB69" s="1236"/>
      <c r="AC69" s="1236"/>
      <c r="AD69" s="1236"/>
      <c r="AE69" s="1236"/>
      <c r="AF69" s="1236"/>
      <c r="AG69" s="1236"/>
      <c r="AH69" s="1236"/>
      <c r="AI69" s="1236"/>
      <c r="AJ69" s="1236"/>
    </row>
    <row r="70" spans="1:36" ht="13.95" customHeight="1">
      <c r="A70" s="1237"/>
      <c r="B70" s="1237"/>
      <c r="C70" s="1241"/>
      <c r="D70" s="1241"/>
      <c r="E70" s="1241"/>
      <c r="F70" s="1241"/>
      <c r="G70" s="1241"/>
      <c r="H70" s="1240"/>
      <c r="I70" s="1240"/>
      <c r="J70" s="1240"/>
      <c r="K70" s="1240"/>
      <c r="L70" s="1240"/>
      <c r="M70" s="1240"/>
      <c r="N70" s="1240"/>
      <c r="O70" s="1240"/>
      <c r="P70" s="1240"/>
      <c r="Q70" s="1240"/>
      <c r="R70" s="1240"/>
      <c r="S70" s="1240"/>
      <c r="T70" s="1236"/>
      <c r="U70" s="1236"/>
      <c r="V70" s="1236"/>
      <c r="W70" s="1236"/>
      <c r="X70" s="1236"/>
      <c r="Y70" s="1236"/>
      <c r="Z70" s="1236"/>
      <c r="AA70" s="1236"/>
      <c r="AB70" s="1236"/>
      <c r="AC70" s="1236"/>
      <c r="AD70" s="1236"/>
      <c r="AE70" s="1236"/>
      <c r="AF70" s="1236"/>
      <c r="AG70" s="1236"/>
      <c r="AH70" s="1236"/>
      <c r="AI70" s="1236"/>
      <c r="AJ70" s="1236"/>
    </row>
    <row r="71" spans="1:36" ht="13.95" customHeight="1">
      <c r="A71" s="1237"/>
      <c r="B71" s="1237"/>
      <c r="C71" s="1241"/>
      <c r="D71" s="1241"/>
      <c r="E71" s="1241"/>
      <c r="F71" s="1241"/>
      <c r="G71" s="1241"/>
      <c r="H71" s="1240"/>
      <c r="I71" s="1240"/>
      <c r="J71" s="1240"/>
      <c r="K71" s="1240"/>
      <c r="L71" s="1240"/>
      <c r="M71" s="1240"/>
      <c r="N71" s="1240"/>
      <c r="O71" s="1240"/>
      <c r="P71" s="1240"/>
      <c r="Q71" s="1240"/>
      <c r="R71" s="1240"/>
      <c r="S71" s="1240"/>
      <c r="T71" s="1236"/>
      <c r="U71" s="1236"/>
      <c r="V71" s="1236"/>
      <c r="W71" s="1236"/>
      <c r="X71" s="1236"/>
      <c r="Y71" s="1236"/>
      <c r="Z71" s="1236"/>
      <c r="AA71" s="1236"/>
      <c r="AB71" s="1236"/>
      <c r="AC71" s="1236"/>
      <c r="AD71" s="1236"/>
      <c r="AE71" s="1236"/>
      <c r="AF71" s="1236"/>
      <c r="AG71" s="1236"/>
      <c r="AH71" s="1236"/>
      <c r="AI71" s="1236"/>
      <c r="AJ71" s="1236"/>
    </row>
    <row r="72" spans="1:36" ht="13.95" customHeight="1">
      <c r="A72" s="1237"/>
      <c r="B72" s="1237"/>
      <c r="C72" s="1241"/>
      <c r="D72" s="1241"/>
      <c r="E72" s="1241"/>
      <c r="F72" s="1241"/>
      <c r="G72" s="1241"/>
      <c r="H72" s="1240"/>
      <c r="I72" s="1240"/>
      <c r="J72" s="1240"/>
      <c r="K72" s="1240"/>
      <c r="L72" s="1240"/>
      <c r="M72" s="1240"/>
      <c r="N72" s="1240"/>
      <c r="O72" s="1240"/>
      <c r="P72" s="1240"/>
      <c r="Q72" s="1240"/>
      <c r="R72" s="1240"/>
      <c r="S72" s="1240"/>
      <c r="T72" s="1236"/>
      <c r="U72" s="1236"/>
      <c r="V72" s="1236"/>
      <c r="W72" s="1236"/>
      <c r="X72" s="1236"/>
      <c r="Y72" s="1236"/>
      <c r="Z72" s="1236"/>
      <c r="AA72" s="1236"/>
      <c r="AB72" s="1236"/>
      <c r="AC72" s="1236"/>
      <c r="AD72" s="1236"/>
      <c r="AE72" s="1236"/>
      <c r="AF72" s="1236"/>
      <c r="AG72" s="1236"/>
      <c r="AH72" s="1236"/>
      <c r="AI72" s="1236"/>
      <c r="AJ72" s="1236"/>
    </row>
    <row r="73" spans="1:36" ht="13.95" customHeight="1">
      <c r="A73" s="1237"/>
      <c r="B73" s="1237"/>
      <c r="C73" s="1241"/>
      <c r="D73" s="1241"/>
      <c r="E73" s="1241"/>
      <c r="F73" s="1241"/>
      <c r="G73" s="1241"/>
      <c r="H73" s="1240"/>
      <c r="I73" s="1240"/>
      <c r="J73" s="1240"/>
      <c r="K73" s="1240"/>
      <c r="L73" s="1240"/>
      <c r="M73" s="1240"/>
      <c r="N73" s="1240"/>
      <c r="O73" s="1240"/>
      <c r="P73" s="1240"/>
      <c r="Q73" s="1240"/>
      <c r="R73" s="1240"/>
      <c r="S73" s="1240"/>
      <c r="T73" s="1236"/>
      <c r="U73" s="1236"/>
      <c r="V73" s="1236"/>
      <c r="W73" s="1236"/>
      <c r="X73" s="1236"/>
      <c r="Y73" s="1236"/>
      <c r="Z73" s="1236"/>
      <c r="AA73" s="1236"/>
      <c r="AB73" s="1236"/>
      <c r="AC73" s="1236"/>
      <c r="AD73" s="1236"/>
      <c r="AE73" s="1236"/>
      <c r="AF73" s="1236"/>
      <c r="AG73" s="1236"/>
      <c r="AH73" s="1236"/>
      <c r="AI73" s="1236"/>
      <c r="AJ73" s="1236"/>
    </row>
    <row r="74" spans="1:36" ht="13.95" customHeight="1">
      <c r="A74" s="1237"/>
      <c r="B74" s="1237"/>
      <c r="C74" s="1241"/>
      <c r="D74" s="1241"/>
      <c r="E74" s="1241"/>
      <c r="F74" s="1241"/>
      <c r="G74" s="1241"/>
      <c r="H74" s="1240"/>
      <c r="I74" s="1240"/>
      <c r="J74" s="1240"/>
      <c r="K74" s="1240"/>
      <c r="L74" s="1240"/>
      <c r="M74" s="1240"/>
      <c r="N74" s="1240"/>
      <c r="O74" s="1240"/>
      <c r="P74" s="1240"/>
      <c r="Q74" s="1240"/>
      <c r="R74" s="1240"/>
      <c r="S74" s="1240"/>
      <c r="T74" s="1236"/>
      <c r="U74" s="1236"/>
      <c r="V74" s="1236"/>
      <c r="W74" s="1236"/>
      <c r="X74" s="1236"/>
      <c r="Y74" s="1236"/>
      <c r="Z74" s="1236"/>
      <c r="AA74" s="1236"/>
      <c r="AB74" s="1236"/>
      <c r="AC74" s="1236"/>
      <c r="AD74" s="1236"/>
      <c r="AE74" s="1236"/>
      <c r="AF74" s="1236"/>
      <c r="AG74" s="1236"/>
      <c r="AH74" s="1236"/>
      <c r="AI74" s="1236"/>
      <c r="AJ74" s="1236"/>
    </row>
    <row r="75" spans="1:36" ht="13.95" customHeight="1">
      <c r="A75" s="1237"/>
      <c r="B75" s="1237"/>
      <c r="C75" s="1241"/>
      <c r="D75" s="1241"/>
      <c r="E75" s="1241"/>
      <c r="F75" s="1241"/>
      <c r="G75" s="1241"/>
      <c r="H75" s="1240"/>
      <c r="I75" s="1240"/>
      <c r="J75" s="1240"/>
      <c r="K75" s="1240"/>
      <c r="L75" s="1240"/>
      <c r="M75" s="1240"/>
      <c r="N75" s="1240"/>
      <c r="O75" s="1240"/>
      <c r="P75" s="1240"/>
      <c r="Q75" s="1240"/>
      <c r="R75" s="1240"/>
      <c r="S75" s="1240"/>
      <c r="T75" s="1236"/>
      <c r="U75" s="1236"/>
      <c r="V75" s="1236"/>
      <c r="W75" s="1236"/>
      <c r="X75" s="1236"/>
      <c r="Y75" s="1236"/>
      <c r="Z75" s="1236"/>
      <c r="AA75" s="1236"/>
      <c r="AB75" s="1236"/>
      <c r="AC75" s="1236"/>
      <c r="AD75" s="1236"/>
      <c r="AE75" s="1236"/>
      <c r="AF75" s="1236"/>
      <c r="AG75" s="1236"/>
      <c r="AH75" s="1236"/>
      <c r="AI75" s="1236"/>
      <c r="AJ75" s="1236"/>
    </row>
    <row r="76" spans="1:36" ht="13.95" customHeight="1">
      <c r="A76" s="1237"/>
      <c r="B76" s="1237"/>
      <c r="C76" s="1241"/>
      <c r="D76" s="1241"/>
      <c r="E76" s="1241"/>
      <c r="F76" s="1241"/>
      <c r="G76" s="1241"/>
      <c r="H76" s="1240"/>
      <c r="I76" s="1240"/>
      <c r="J76" s="1240"/>
      <c r="K76" s="1240"/>
      <c r="L76" s="1240"/>
      <c r="M76" s="1240"/>
      <c r="N76" s="1240"/>
      <c r="O76" s="1240"/>
      <c r="P76" s="1240"/>
      <c r="Q76" s="1240"/>
      <c r="R76" s="1240"/>
      <c r="S76" s="1240"/>
      <c r="T76" s="1236"/>
      <c r="U76" s="1236"/>
      <c r="V76" s="1236"/>
      <c r="W76" s="1236"/>
      <c r="X76" s="1236"/>
      <c r="Y76" s="1236"/>
      <c r="Z76" s="1236"/>
      <c r="AA76" s="1236"/>
      <c r="AB76" s="1236"/>
      <c r="AC76" s="1236"/>
      <c r="AD76" s="1236"/>
      <c r="AE76" s="1236"/>
      <c r="AF76" s="1236"/>
      <c r="AG76" s="1236"/>
      <c r="AH76" s="1236"/>
      <c r="AI76" s="1236"/>
      <c r="AJ76" s="1236"/>
    </row>
    <row r="77" spans="1:36" ht="13.95" customHeight="1">
      <c r="A77" s="1237"/>
      <c r="B77" s="1237"/>
      <c r="C77" s="1241"/>
      <c r="D77" s="1241"/>
      <c r="E77" s="1241"/>
      <c r="F77" s="1241"/>
      <c r="G77" s="1241"/>
      <c r="H77" s="1240"/>
      <c r="I77" s="1240"/>
      <c r="J77" s="1240"/>
      <c r="K77" s="1240"/>
      <c r="L77" s="1240"/>
      <c r="M77" s="1240"/>
      <c r="N77" s="1240"/>
      <c r="O77" s="1240"/>
      <c r="P77" s="1240"/>
      <c r="Q77" s="1240"/>
      <c r="R77" s="1240"/>
      <c r="S77" s="1240"/>
      <c r="T77" s="1236"/>
      <c r="U77" s="1236"/>
      <c r="V77" s="1236"/>
      <c r="W77" s="1236"/>
      <c r="X77" s="1236"/>
      <c r="Y77" s="1236"/>
      <c r="Z77" s="1236"/>
      <c r="AA77" s="1236"/>
      <c r="AB77" s="1236"/>
      <c r="AC77" s="1236"/>
      <c r="AD77" s="1236"/>
      <c r="AE77" s="1236"/>
      <c r="AF77" s="1236"/>
      <c r="AG77" s="1236"/>
      <c r="AH77" s="1236"/>
      <c r="AI77" s="1236"/>
      <c r="AJ77" s="1236"/>
    </row>
    <row r="78" spans="1:36" ht="13.95" customHeight="1">
      <c r="A78" s="1237"/>
      <c r="B78" s="1237"/>
      <c r="C78" s="1241"/>
      <c r="D78" s="1241"/>
      <c r="E78" s="1241"/>
      <c r="F78" s="1241"/>
      <c r="G78" s="1241"/>
      <c r="H78" s="1240"/>
      <c r="I78" s="1240"/>
      <c r="J78" s="1240"/>
      <c r="K78" s="1240"/>
      <c r="L78" s="1240"/>
      <c r="M78" s="1240"/>
      <c r="N78" s="1240"/>
      <c r="O78" s="1240"/>
      <c r="P78" s="1240"/>
      <c r="Q78" s="1240"/>
      <c r="R78" s="1240"/>
      <c r="S78" s="1240"/>
      <c r="T78" s="1236"/>
      <c r="U78" s="1236"/>
      <c r="V78" s="1236"/>
      <c r="W78" s="1236"/>
      <c r="X78" s="1236"/>
      <c r="Y78" s="1236"/>
      <c r="Z78" s="1236"/>
      <c r="AA78" s="1236"/>
      <c r="AB78" s="1236"/>
      <c r="AC78" s="1236"/>
      <c r="AD78" s="1236"/>
      <c r="AE78" s="1236"/>
      <c r="AF78" s="1236"/>
      <c r="AG78" s="1236"/>
      <c r="AH78" s="1236"/>
      <c r="AI78" s="1236"/>
      <c r="AJ78" s="1236"/>
    </row>
    <row r="79" spans="1:36" ht="13.95" customHeight="1">
      <c r="A79" s="1237"/>
      <c r="B79" s="1237"/>
      <c r="C79" s="1241"/>
      <c r="D79" s="1241"/>
      <c r="E79" s="1241"/>
      <c r="F79" s="1241"/>
      <c r="G79" s="1241"/>
      <c r="H79" s="1240"/>
      <c r="I79" s="1240"/>
      <c r="J79" s="1240"/>
      <c r="K79" s="1240"/>
      <c r="L79" s="1240"/>
      <c r="M79" s="1240"/>
      <c r="N79" s="1240"/>
      <c r="O79" s="1240"/>
      <c r="P79" s="1240"/>
      <c r="Q79" s="1240"/>
      <c r="R79" s="1240"/>
      <c r="S79" s="1240"/>
      <c r="T79" s="1236"/>
      <c r="U79" s="1236"/>
      <c r="V79" s="1236"/>
      <c r="W79" s="1236"/>
      <c r="X79" s="1236"/>
      <c r="Y79" s="1236"/>
      <c r="Z79" s="1236"/>
      <c r="AA79" s="1236"/>
      <c r="AB79" s="1236"/>
      <c r="AC79" s="1236"/>
      <c r="AD79" s="1236"/>
      <c r="AE79" s="1236"/>
      <c r="AF79" s="1236"/>
      <c r="AG79" s="1236"/>
      <c r="AH79" s="1236"/>
      <c r="AI79" s="1236"/>
      <c r="AJ79" s="1236"/>
    </row>
    <row r="80" spans="1:36" ht="13.95" customHeight="1">
      <c r="A80" s="1237"/>
      <c r="B80" s="1237"/>
      <c r="C80" s="1241"/>
      <c r="D80" s="1241"/>
      <c r="E80" s="1241"/>
      <c r="F80" s="1241"/>
      <c r="G80" s="1241"/>
      <c r="H80" s="1240"/>
      <c r="I80" s="1240"/>
      <c r="J80" s="1240"/>
      <c r="K80" s="1240"/>
      <c r="L80" s="1240"/>
      <c r="M80" s="1240"/>
      <c r="N80" s="1240"/>
      <c r="O80" s="1240"/>
      <c r="P80" s="1240"/>
      <c r="Q80" s="1240"/>
      <c r="R80" s="1240"/>
      <c r="S80" s="1240"/>
      <c r="T80" s="1236"/>
      <c r="U80" s="1236"/>
      <c r="V80" s="1236"/>
      <c r="W80" s="1236"/>
      <c r="X80" s="1236"/>
      <c r="Y80" s="1236"/>
      <c r="Z80" s="1236"/>
      <c r="AA80" s="1236"/>
      <c r="AB80" s="1236"/>
      <c r="AC80" s="1236"/>
      <c r="AD80" s="1236"/>
      <c r="AE80" s="1236"/>
      <c r="AF80" s="1236"/>
      <c r="AG80" s="1236"/>
      <c r="AH80" s="1236"/>
      <c r="AI80" s="1236"/>
      <c r="AJ80" s="1236"/>
    </row>
    <row r="81" spans="1:36" ht="13.95" customHeight="1">
      <c r="A81" s="1237"/>
      <c r="B81" s="1237"/>
      <c r="C81" s="1241"/>
      <c r="D81" s="1241"/>
      <c r="E81" s="1241"/>
      <c r="F81" s="1241"/>
      <c r="G81" s="1241"/>
      <c r="H81" s="1240"/>
      <c r="I81" s="1240"/>
      <c r="J81" s="1240"/>
      <c r="K81" s="1240"/>
      <c r="L81" s="1240"/>
      <c r="M81" s="1240"/>
      <c r="N81" s="1240"/>
      <c r="O81" s="1240"/>
      <c r="P81" s="1240"/>
      <c r="Q81" s="1240"/>
      <c r="R81" s="1240"/>
      <c r="S81" s="1240"/>
      <c r="T81" s="1236"/>
      <c r="U81" s="1236"/>
      <c r="V81" s="1236"/>
      <c r="W81" s="1236"/>
      <c r="X81" s="1236"/>
      <c r="Y81" s="1236"/>
      <c r="Z81" s="1236"/>
      <c r="AA81" s="1236"/>
      <c r="AB81" s="1236"/>
      <c r="AC81" s="1236"/>
      <c r="AD81" s="1236"/>
      <c r="AE81" s="1236"/>
      <c r="AF81" s="1236"/>
      <c r="AG81" s="1236"/>
      <c r="AH81" s="1236"/>
      <c r="AI81" s="1236"/>
      <c r="AJ81" s="1236"/>
    </row>
    <row r="82" spans="1:36" ht="13.95" customHeight="1">
      <c r="A82" s="1237"/>
      <c r="B82" s="1237"/>
      <c r="C82" s="1241"/>
      <c r="D82" s="1241"/>
      <c r="E82" s="1241"/>
      <c r="F82" s="1241"/>
      <c r="G82" s="1241"/>
      <c r="H82" s="1240"/>
      <c r="I82" s="1240"/>
      <c r="J82" s="1240"/>
      <c r="K82" s="1240"/>
      <c r="L82" s="1240"/>
      <c r="M82" s="1240"/>
      <c r="N82" s="1240"/>
      <c r="O82" s="1240"/>
      <c r="P82" s="1240"/>
      <c r="Q82" s="1240"/>
      <c r="R82" s="1240"/>
      <c r="S82" s="1240"/>
      <c r="T82" s="1236"/>
      <c r="U82" s="1236"/>
      <c r="V82" s="1236"/>
      <c r="W82" s="1236"/>
      <c r="X82" s="1236"/>
      <c r="Y82" s="1236"/>
      <c r="Z82" s="1236"/>
      <c r="AA82" s="1236"/>
      <c r="AB82" s="1236"/>
      <c r="AC82" s="1236"/>
      <c r="AD82" s="1236"/>
      <c r="AE82" s="1236"/>
      <c r="AF82" s="1236"/>
      <c r="AG82" s="1236"/>
      <c r="AH82" s="1236"/>
      <c r="AI82" s="1236"/>
      <c r="AJ82" s="1236"/>
    </row>
    <row r="83" spans="1:36" ht="13.95" customHeight="1">
      <c r="A83" s="1237"/>
      <c r="B83" s="1237"/>
      <c r="C83" s="1241"/>
      <c r="D83" s="1241"/>
      <c r="E83" s="1241"/>
      <c r="F83" s="1241"/>
      <c r="G83" s="1241"/>
      <c r="H83" s="1240"/>
      <c r="I83" s="1240"/>
      <c r="J83" s="1240"/>
      <c r="K83" s="1240"/>
      <c r="L83" s="1240"/>
      <c r="M83" s="1240"/>
      <c r="N83" s="1240"/>
      <c r="O83" s="1240"/>
      <c r="P83" s="1240"/>
      <c r="Q83" s="1240"/>
      <c r="R83" s="1240"/>
      <c r="S83" s="1240"/>
      <c r="T83" s="1236"/>
      <c r="U83" s="1236"/>
      <c r="V83" s="1236"/>
      <c r="W83" s="1236"/>
      <c r="X83" s="1236"/>
      <c r="Y83" s="1236"/>
      <c r="Z83" s="1236"/>
      <c r="AA83" s="1236"/>
      <c r="AB83" s="1236"/>
      <c r="AC83" s="1236"/>
      <c r="AD83" s="1236"/>
      <c r="AE83" s="1236"/>
      <c r="AF83" s="1236"/>
      <c r="AG83" s="1236"/>
      <c r="AH83" s="1236"/>
      <c r="AI83" s="1236"/>
      <c r="AJ83" s="1236"/>
    </row>
    <row r="84" spans="1:36" ht="13.95" customHeight="1">
      <c r="A84" s="1237"/>
      <c r="B84" s="1237"/>
      <c r="C84" s="1241"/>
      <c r="D84" s="1241"/>
      <c r="E84" s="1241"/>
      <c r="F84" s="1241"/>
      <c r="G84" s="1241"/>
      <c r="H84" s="1240"/>
      <c r="I84" s="1240"/>
      <c r="J84" s="1240"/>
      <c r="K84" s="1240"/>
      <c r="L84" s="1240"/>
      <c r="M84" s="1240"/>
      <c r="N84" s="1240"/>
      <c r="O84" s="1240"/>
      <c r="P84" s="1240"/>
      <c r="Q84" s="1240"/>
      <c r="R84" s="1240"/>
      <c r="S84" s="1240"/>
      <c r="T84" s="1236"/>
      <c r="U84" s="1236"/>
      <c r="V84" s="1236"/>
      <c r="W84" s="1236"/>
      <c r="X84" s="1236"/>
      <c r="Y84" s="1236"/>
      <c r="Z84" s="1236"/>
      <c r="AA84" s="1236"/>
      <c r="AB84" s="1236"/>
      <c r="AC84" s="1236"/>
      <c r="AD84" s="1236"/>
      <c r="AE84" s="1236"/>
      <c r="AF84" s="1236"/>
      <c r="AG84" s="1236"/>
      <c r="AH84" s="1236"/>
      <c r="AI84" s="1236"/>
      <c r="AJ84" s="1236"/>
    </row>
    <row r="85" spans="1:36" ht="13.95" customHeight="1">
      <c r="A85" s="1237"/>
      <c r="B85" s="1237"/>
      <c r="C85" s="1241"/>
      <c r="D85" s="1241"/>
      <c r="E85" s="1241"/>
      <c r="F85" s="1241"/>
      <c r="G85" s="1241"/>
      <c r="H85" s="1240"/>
      <c r="I85" s="1240"/>
      <c r="J85" s="1240"/>
      <c r="K85" s="1240"/>
      <c r="L85" s="1240"/>
      <c r="M85" s="1240"/>
      <c r="N85" s="1240"/>
      <c r="O85" s="1240"/>
      <c r="P85" s="1240"/>
      <c r="Q85" s="1240"/>
      <c r="R85" s="1240"/>
      <c r="S85" s="1240"/>
      <c r="T85" s="1236"/>
      <c r="U85" s="1236"/>
      <c r="V85" s="1236"/>
      <c r="W85" s="1236"/>
      <c r="X85" s="1236"/>
      <c r="Y85" s="1236"/>
      <c r="Z85" s="1236"/>
      <c r="AA85" s="1236"/>
      <c r="AB85" s="1236"/>
      <c r="AC85" s="1236"/>
      <c r="AD85" s="1236"/>
      <c r="AE85" s="1236"/>
      <c r="AF85" s="1236"/>
      <c r="AG85" s="1236"/>
      <c r="AH85" s="1236"/>
      <c r="AI85" s="1236"/>
      <c r="AJ85" s="1236"/>
    </row>
    <row r="86" spans="1:36" ht="13.95" customHeight="1">
      <c r="A86" s="1237"/>
      <c r="B86" s="1237"/>
      <c r="C86" s="1241"/>
      <c r="D86" s="1241"/>
      <c r="E86" s="1241"/>
      <c r="F86" s="1241"/>
      <c r="G86" s="1241"/>
      <c r="H86" s="1240"/>
      <c r="I86" s="1240"/>
      <c r="J86" s="1240"/>
      <c r="K86" s="1240"/>
      <c r="L86" s="1240"/>
      <c r="M86" s="1240"/>
      <c r="N86" s="1240"/>
      <c r="O86" s="1240"/>
      <c r="P86" s="1240"/>
      <c r="Q86" s="1240"/>
      <c r="R86" s="1240"/>
      <c r="S86" s="1240"/>
      <c r="T86" s="1236"/>
      <c r="U86" s="1236"/>
      <c r="V86" s="1236"/>
      <c r="W86" s="1236"/>
      <c r="X86" s="1236"/>
      <c r="Y86" s="1236"/>
      <c r="Z86" s="1236"/>
      <c r="AA86" s="1236"/>
      <c r="AB86" s="1236"/>
      <c r="AC86" s="1236"/>
      <c r="AD86" s="1236"/>
      <c r="AE86" s="1236"/>
      <c r="AF86" s="1236"/>
      <c r="AG86" s="1236"/>
      <c r="AH86" s="1236"/>
      <c r="AI86" s="1236"/>
      <c r="AJ86" s="1236"/>
    </row>
    <row r="87" spans="1:36" ht="13.95" customHeight="1">
      <c r="A87" s="1237"/>
      <c r="B87" s="1237"/>
      <c r="C87" s="1241"/>
      <c r="D87" s="1241"/>
      <c r="E87" s="1241"/>
      <c r="F87" s="1241"/>
      <c r="G87" s="1241"/>
      <c r="H87" s="1240"/>
      <c r="I87" s="1240"/>
      <c r="J87" s="1240"/>
      <c r="K87" s="1240"/>
      <c r="L87" s="1240"/>
      <c r="M87" s="1240"/>
      <c r="N87" s="1240"/>
      <c r="O87" s="1240"/>
      <c r="P87" s="1240"/>
      <c r="Q87" s="1240"/>
      <c r="R87" s="1240"/>
      <c r="S87" s="1240"/>
      <c r="T87" s="1236"/>
      <c r="U87" s="1236"/>
      <c r="V87" s="1236"/>
      <c r="W87" s="1236"/>
      <c r="X87" s="1236"/>
      <c r="Y87" s="1236"/>
      <c r="Z87" s="1236"/>
      <c r="AA87" s="1236"/>
      <c r="AB87" s="1236"/>
      <c r="AC87" s="1236"/>
      <c r="AD87" s="1236"/>
      <c r="AE87" s="1236"/>
      <c r="AF87" s="1236"/>
      <c r="AG87" s="1236"/>
      <c r="AH87" s="1236"/>
      <c r="AI87" s="1236"/>
      <c r="AJ87" s="1236"/>
    </row>
    <row r="88" spans="1:36" ht="13.95" customHeight="1">
      <c r="A88" s="1237"/>
      <c r="B88" s="1237"/>
      <c r="C88" s="1241"/>
      <c r="D88" s="1241"/>
      <c r="E88" s="1241"/>
      <c r="F88" s="1241"/>
      <c r="G88" s="1241"/>
      <c r="H88" s="1240"/>
      <c r="I88" s="1240"/>
      <c r="J88" s="1240"/>
      <c r="K88" s="1240"/>
      <c r="L88" s="1240"/>
      <c r="M88" s="1240"/>
      <c r="N88" s="1240"/>
      <c r="O88" s="1240"/>
      <c r="P88" s="1240"/>
      <c r="Q88" s="1240"/>
      <c r="R88" s="1240"/>
      <c r="S88" s="1240"/>
      <c r="T88" s="1236"/>
      <c r="U88" s="1236"/>
      <c r="V88" s="1236"/>
      <c r="W88" s="1236"/>
      <c r="X88" s="1236"/>
      <c r="Y88" s="1236"/>
      <c r="Z88" s="1236"/>
      <c r="AA88" s="1236"/>
      <c r="AB88" s="1236"/>
      <c r="AC88" s="1236"/>
      <c r="AD88" s="1236"/>
      <c r="AE88" s="1236"/>
      <c r="AF88" s="1236"/>
      <c r="AG88" s="1236"/>
      <c r="AH88" s="1236"/>
      <c r="AI88" s="1236"/>
      <c r="AJ88" s="1236"/>
    </row>
    <row r="89" spans="1:36" ht="13.95" customHeight="1">
      <c r="A89" s="1237"/>
      <c r="B89" s="1237"/>
      <c r="C89" s="1241"/>
      <c r="D89" s="1241"/>
      <c r="E89" s="1241"/>
      <c r="F89" s="1241"/>
      <c r="G89" s="1241"/>
      <c r="H89" s="1240"/>
      <c r="I89" s="1240"/>
      <c r="J89" s="1240"/>
      <c r="K89" s="1240"/>
      <c r="L89" s="1240"/>
      <c r="M89" s="1240"/>
      <c r="N89" s="1240"/>
      <c r="O89" s="1240"/>
      <c r="P89" s="1240"/>
      <c r="Q89" s="1240"/>
      <c r="R89" s="1240"/>
      <c r="S89" s="1240"/>
      <c r="T89" s="1236"/>
      <c r="U89" s="1236"/>
      <c r="V89" s="1236"/>
      <c r="W89" s="1236"/>
      <c r="X89" s="1236"/>
      <c r="Y89" s="1236"/>
      <c r="Z89" s="1236"/>
      <c r="AA89" s="1236"/>
      <c r="AB89" s="1236"/>
      <c r="AC89" s="1236"/>
      <c r="AD89" s="1236"/>
      <c r="AE89" s="1236"/>
      <c r="AF89" s="1236"/>
      <c r="AG89" s="1236"/>
      <c r="AH89" s="1236"/>
      <c r="AI89" s="1236"/>
      <c r="AJ89" s="1236"/>
    </row>
    <row r="90" spans="1:36" ht="13.95" customHeight="1">
      <c r="A90" s="1237"/>
      <c r="B90" s="1237"/>
      <c r="C90" s="1241"/>
      <c r="D90" s="1241"/>
      <c r="E90" s="1241"/>
      <c r="F90" s="1241"/>
      <c r="G90" s="1241"/>
      <c r="H90" s="1240"/>
      <c r="I90" s="1240"/>
      <c r="J90" s="1240"/>
      <c r="K90" s="1240"/>
      <c r="L90" s="1240"/>
      <c r="M90" s="1240"/>
      <c r="N90" s="1240"/>
      <c r="O90" s="1240"/>
      <c r="P90" s="1240"/>
      <c r="Q90" s="1240"/>
      <c r="R90" s="1240"/>
      <c r="S90" s="1240"/>
      <c r="T90" s="1236"/>
      <c r="U90" s="1236"/>
      <c r="V90" s="1236"/>
      <c r="W90" s="1236"/>
      <c r="X90" s="1236"/>
      <c r="Y90" s="1236"/>
      <c r="Z90" s="1236"/>
      <c r="AA90" s="1236"/>
      <c r="AB90" s="1236"/>
      <c r="AC90" s="1236"/>
      <c r="AD90" s="1236"/>
      <c r="AE90" s="1236"/>
      <c r="AF90" s="1236"/>
      <c r="AG90" s="1236"/>
      <c r="AH90" s="1236"/>
      <c r="AI90" s="1236"/>
      <c r="AJ90" s="1236"/>
    </row>
    <row r="91" spans="1:36" ht="13.95" customHeight="1">
      <c r="A91" s="1237"/>
      <c r="B91" s="1237"/>
      <c r="C91" s="1241"/>
      <c r="D91" s="1241"/>
      <c r="E91" s="1241"/>
      <c r="F91" s="1241"/>
      <c r="G91" s="1241"/>
      <c r="H91" s="1240"/>
      <c r="I91" s="1240"/>
      <c r="J91" s="1240"/>
      <c r="K91" s="1240"/>
      <c r="L91" s="1240"/>
      <c r="M91" s="1240"/>
      <c r="N91" s="1240"/>
      <c r="O91" s="1240"/>
      <c r="P91" s="1240"/>
      <c r="Q91" s="1240"/>
      <c r="R91" s="1240"/>
      <c r="S91" s="1240"/>
      <c r="T91" s="1236"/>
      <c r="U91" s="1236"/>
      <c r="V91" s="1236"/>
      <c r="W91" s="1236"/>
      <c r="X91" s="1236"/>
      <c r="Y91" s="1236"/>
      <c r="Z91" s="1236"/>
      <c r="AA91" s="1236"/>
      <c r="AB91" s="1236"/>
      <c r="AC91" s="1236"/>
      <c r="AD91" s="1236"/>
      <c r="AE91" s="1236"/>
      <c r="AF91" s="1236"/>
      <c r="AG91" s="1236"/>
      <c r="AH91" s="1236"/>
      <c r="AI91" s="1236"/>
      <c r="AJ91" s="1236"/>
    </row>
    <row r="92" spans="1:36" ht="13.95" customHeight="1">
      <c r="A92" s="1237"/>
      <c r="B92" s="1237"/>
      <c r="C92" s="1241"/>
      <c r="D92" s="1241"/>
      <c r="E92" s="1241"/>
      <c r="F92" s="1241"/>
      <c r="G92" s="1241"/>
      <c r="H92" s="1240"/>
      <c r="I92" s="1240"/>
      <c r="J92" s="1240"/>
      <c r="K92" s="1240"/>
      <c r="L92" s="1240"/>
      <c r="M92" s="1240"/>
      <c r="N92" s="1240"/>
      <c r="O92" s="1240"/>
      <c r="P92" s="1240"/>
      <c r="Q92" s="1240"/>
      <c r="R92" s="1240"/>
      <c r="S92" s="1240"/>
      <c r="T92" s="1236"/>
      <c r="U92" s="1236"/>
      <c r="V92" s="1236"/>
      <c r="W92" s="1236"/>
      <c r="X92" s="1236"/>
      <c r="Y92" s="1236"/>
      <c r="Z92" s="1236"/>
      <c r="AA92" s="1236"/>
      <c r="AB92" s="1236"/>
      <c r="AC92" s="1236"/>
      <c r="AD92" s="1236"/>
      <c r="AE92" s="1236"/>
      <c r="AF92" s="1236"/>
      <c r="AG92" s="1236"/>
      <c r="AH92" s="1236"/>
      <c r="AI92" s="1236"/>
      <c r="AJ92" s="1236"/>
    </row>
    <row r="93" spans="1:36" ht="13.95" customHeight="1">
      <c r="A93" s="1237"/>
      <c r="B93" s="1237"/>
      <c r="C93" s="1241"/>
      <c r="D93" s="1241"/>
      <c r="E93" s="1241"/>
      <c r="F93" s="1241"/>
      <c r="G93" s="1241"/>
      <c r="H93" s="1240"/>
      <c r="I93" s="1240"/>
      <c r="J93" s="1240"/>
      <c r="K93" s="1240"/>
      <c r="L93" s="1240"/>
      <c r="M93" s="1240"/>
      <c r="N93" s="1240"/>
      <c r="O93" s="1240"/>
      <c r="P93" s="1240"/>
      <c r="Q93" s="1240"/>
      <c r="R93" s="1240"/>
      <c r="S93" s="1240"/>
      <c r="T93" s="1236"/>
      <c r="U93" s="1236"/>
      <c r="V93" s="1236"/>
      <c r="W93" s="1236"/>
      <c r="X93" s="1236"/>
      <c r="Y93" s="1236"/>
      <c r="Z93" s="1236"/>
      <c r="AA93" s="1236"/>
      <c r="AB93" s="1236"/>
      <c r="AC93" s="1236"/>
      <c r="AD93" s="1236"/>
      <c r="AE93" s="1236"/>
      <c r="AF93" s="1236"/>
      <c r="AG93" s="1236"/>
      <c r="AH93" s="1236"/>
      <c r="AI93" s="1236"/>
      <c r="AJ93" s="1236"/>
    </row>
    <row r="94" spans="1:36" ht="13.95" customHeight="1">
      <c r="A94" s="1237"/>
      <c r="B94" s="1237"/>
      <c r="C94" s="1241"/>
      <c r="D94" s="1241"/>
      <c r="E94" s="1241"/>
      <c r="F94" s="1241"/>
      <c r="G94" s="1241"/>
      <c r="H94" s="1240"/>
      <c r="I94" s="1240"/>
      <c r="J94" s="1240"/>
      <c r="K94" s="1240"/>
      <c r="L94" s="1240"/>
      <c r="M94" s="1240"/>
      <c r="N94" s="1240"/>
      <c r="O94" s="1240"/>
      <c r="P94" s="1240"/>
      <c r="Q94" s="1240"/>
      <c r="R94" s="1240"/>
      <c r="S94" s="1240"/>
      <c r="T94" s="1236"/>
      <c r="U94" s="1236"/>
      <c r="V94" s="1236"/>
      <c r="W94" s="1236"/>
      <c r="X94" s="1236"/>
      <c r="Y94" s="1236"/>
      <c r="Z94" s="1236"/>
      <c r="AA94" s="1236"/>
      <c r="AB94" s="1236"/>
      <c r="AC94" s="1236"/>
      <c r="AD94" s="1236"/>
      <c r="AE94" s="1236"/>
      <c r="AF94" s="1236"/>
      <c r="AG94" s="1236"/>
      <c r="AH94" s="1236"/>
      <c r="AI94" s="1236"/>
      <c r="AJ94" s="1236"/>
    </row>
    <row r="95" spans="1:36" ht="13.95" customHeight="1">
      <c r="A95" s="1237"/>
      <c r="B95" s="1237"/>
      <c r="C95" s="1241"/>
      <c r="D95" s="1241"/>
      <c r="E95" s="1241"/>
      <c r="F95" s="1241"/>
      <c r="G95" s="1241"/>
      <c r="H95" s="1240"/>
      <c r="I95" s="1240"/>
      <c r="J95" s="1240"/>
      <c r="K95" s="1240"/>
      <c r="L95" s="1240"/>
      <c r="M95" s="1240"/>
      <c r="N95" s="1240"/>
      <c r="O95" s="1240"/>
      <c r="P95" s="1240"/>
      <c r="Q95" s="1240"/>
      <c r="R95" s="1240"/>
      <c r="S95" s="1240"/>
      <c r="T95" s="1236"/>
      <c r="U95" s="1236"/>
      <c r="V95" s="1236"/>
      <c r="W95" s="1236"/>
      <c r="X95" s="1236"/>
      <c r="Y95" s="1236"/>
      <c r="Z95" s="1236"/>
      <c r="AA95" s="1236"/>
      <c r="AB95" s="1236"/>
      <c r="AC95" s="1236"/>
      <c r="AD95" s="1236"/>
      <c r="AE95" s="1236"/>
      <c r="AF95" s="1236"/>
      <c r="AG95" s="1236"/>
      <c r="AH95" s="1236"/>
      <c r="AI95" s="1236"/>
      <c r="AJ95" s="1236"/>
    </row>
    <row r="96" spans="1:36" ht="13.95" customHeight="1">
      <c r="A96" s="1237"/>
      <c r="B96" s="1237"/>
      <c r="C96" s="1241"/>
      <c r="D96" s="1241"/>
      <c r="E96" s="1241"/>
      <c r="F96" s="1241"/>
      <c r="G96" s="1241"/>
      <c r="H96" s="1240"/>
      <c r="I96" s="1240"/>
      <c r="J96" s="1240"/>
      <c r="K96" s="1240"/>
      <c r="L96" s="1240"/>
      <c r="M96" s="1240"/>
      <c r="N96" s="1240"/>
      <c r="O96" s="1240"/>
      <c r="P96" s="1240"/>
      <c r="Q96" s="1240"/>
      <c r="R96" s="1240"/>
      <c r="S96" s="1240"/>
      <c r="T96" s="1236"/>
      <c r="U96" s="1236"/>
      <c r="V96" s="1236"/>
      <c r="W96" s="1236"/>
      <c r="X96" s="1236"/>
      <c r="Y96" s="1236"/>
      <c r="Z96" s="1236"/>
      <c r="AA96" s="1236"/>
      <c r="AB96" s="1236"/>
      <c r="AC96" s="1236"/>
      <c r="AD96" s="1236"/>
      <c r="AE96" s="1236"/>
      <c r="AF96" s="1236"/>
      <c r="AG96" s="1236"/>
      <c r="AH96" s="1236"/>
      <c r="AI96" s="1236"/>
      <c r="AJ96" s="1236"/>
    </row>
    <row r="97" spans="1:36" ht="13.95" customHeight="1">
      <c r="A97" s="1237"/>
      <c r="B97" s="1237"/>
      <c r="C97" s="1241"/>
      <c r="D97" s="1241"/>
      <c r="E97" s="1241"/>
      <c r="F97" s="1241"/>
      <c r="G97" s="1241"/>
      <c r="H97" s="1240"/>
      <c r="I97" s="1240"/>
      <c r="J97" s="1240"/>
      <c r="K97" s="1240"/>
      <c r="L97" s="1240"/>
      <c r="M97" s="1240"/>
      <c r="N97" s="1240"/>
      <c r="O97" s="1240"/>
      <c r="P97" s="1240"/>
      <c r="Q97" s="1240"/>
      <c r="R97" s="1240"/>
      <c r="S97" s="1240"/>
      <c r="T97" s="1236"/>
      <c r="U97" s="1236"/>
      <c r="V97" s="1236"/>
      <c r="W97" s="1236"/>
      <c r="X97" s="1236"/>
      <c r="Y97" s="1236"/>
      <c r="Z97" s="1236"/>
      <c r="AA97" s="1236"/>
      <c r="AB97" s="1236"/>
      <c r="AC97" s="1236"/>
      <c r="AD97" s="1236"/>
      <c r="AE97" s="1236"/>
      <c r="AF97" s="1236"/>
      <c r="AG97" s="1236"/>
      <c r="AH97" s="1236"/>
      <c r="AI97" s="1236"/>
      <c r="AJ97" s="1236"/>
    </row>
    <row r="98" spans="1:36" ht="13.95" customHeight="1">
      <c r="A98" s="1237"/>
      <c r="B98" s="1237"/>
      <c r="C98" s="1241"/>
      <c r="D98" s="1241"/>
      <c r="E98" s="1241"/>
      <c r="F98" s="1241"/>
      <c r="G98" s="1241"/>
      <c r="H98" s="1240"/>
      <c r="I98" s="1240"/>
      <c r="J98" s="1240"/>
      <c r="K98" s="1240"/>
      <c r="L98" s="1240"/>
      <c r="M98" s="1240"/>
      <c r="N98" s="1240"/>
      <c r="O98" s="1240"/>
      <c r="P98" s="1240"/>
      <c r="Q98" s="1240"/>
      <c r="R98" s="1240"/>
      <c r="S98" s="1240"/>
      <c r="T98" s="1236"/>
      <c r="U98" s="1236"/>
      <c r="V98" s="1236"/>
      <c r="W98" s="1236"/>
      <c r="X98" s="1236"/>
      <c r="Y98" s="1236"/>
      <c r="Z98" s="1236"/>
      <c r="AA98" s="1236"/>
      <c r="AB98" s="1236"/>
      <c r="AC98" s="1236"/>
      <c r="AD98" s="1236"/>
      <c r="AE98" s="1236"/>
      <c r="AF98" s="1236"/>
      <c r="AG98" s="1236"/>
      <c r="AH98" s="1236"/>
      <c r="AI98" s="1236"/>
      <c r="AJ98" s="1236"/>
    </row>
    <row r="99" spans="1:36" ht="13.95" customHeight="1">
      <c r="A99" s="1237"/>
      <c r="B99" s="1237"/>
      <c r="C99" s="1241"/>
      <c r="D99" s="1241"/>
      <c r="E99" s="1241"/>
      <c r="F99" s="1241"/>
      <c r="G99" s="1241"/>
      <c r="H99" s="1240"/>
      <c r="I99" s="1240"/>
      <c r="J99" s="1240"/>
      <c r="K99" s="1240"/>
      <c r="L99" s="1240"/>
      <c r="M99" s="1240"/>
      <c r="N99" s="1240"/>
      <c r="O99" s="1240"/>
      <c r="P99" s="1240"/>
      <c r="Q99" s="1240"/>
      <c r="R99" s="1240"/>
      <c r="S99" s="1240"/>
      <c r="T99" s="1236"/>
      <c r="U99" s="1236"/>
      <c r="V99" s="1236"/>
      <c r="W99" s="1236"/>
      <c r="X99" s="1236"/>
      <c r="Y99" s="1236"/>
      <c r="Z99" s="1236"/>
      <c r="AA99" s="1236"/>
      <c r="AB99" s="1236"/>
      <c r="AC99" s="1236"/>
      <c r="AD99" s="1236"/>
      <c r="AE99" s="1236"/>
      <c r="AF99" s="1236"/>
      <c r="AG99" s="1236"/>
      <c r="AH99" s="1236"/>
      <c r="AI99" s="1236"/>
      <c r="AJ99" s="1236"/>
    </row>
    <row r="100" spans="1:36" ht="13.95" customHeight="1">
      <c r="A100" s="1237"/>
      <c r="B100" s="1237"/>
      <c r="C100" s="1241"/>
      <c r="D100" s="1241"/>
      <c r="E100" s="1241"/>
      <c r="F100" s="1241"/>
      <c r="G100" s="1241"/>
      <c r="H100" s="1240"/>
      <c r="I100" s="1240"/>
      <c r="J100" s="1240"/>
      <c r="K100" s="1240"/>
      <c r="L100" s="1240"/>
      <c r="M100" s="1240"/>
      <c r="N100" s="1240"/>
      <c r="O100" s="1240"/>
      <c r="P100" s="1240"/>
      <c r="Q100" s="1240"/>
      <c r="R100" s="1240"/>
      <c r="S100" s="1240"/>
      <c r="T100" s="1236"/>
      <c r="U100" s="1236"/>
      <c r="V100" s="1236"/>
      <c r="W100" s="1236"/>
      <c r="X100" s="1236"/>
      <c r="Y100" s="1236"/>
      <c r="Z100" s="1236"/>
      <c r="AA100" s="1236"/>
      <c r="AB100" s="1236"/>
      <c r="AC100" s="1236"/>
      <c r="AD100" s="1236"/>
      <c r="AE100" s="1236"/>
      <c r="AF100" s="1236"/>
      <c r="AG100" s="1236"/>
      <c r="AH100" s="1236"/>
      <c r="AI100" s="1236"/>
      <c r="AJ100" s="1236"/>
    </row>
    <row r="101" spans="1:36" ht="13.95" customHeight="1">
      <c r="A101" s="1237"/>
      <c r="B101" s="1237"/>
      <c r="C101" s="1241"/>
      <c r="D101" s="1241"/>
      <c r="E101" s="1241"/>
      <c r="F101" s="1241"/>
      <c r="G101" s="1241"/>
      <c r="H101" s="1240"/>
      <c r="I101" s="1240"/>
      <c r="J101" s="1240"/>
      <c r="K101" s="1240"/>
      <c r="L101" s="1240"/>
      <c r="M101" s="1240"/>
      <c r="N101" s="1240"/>
      <c r="O101" s="1240"/>
      <c r="P101" s="1240"/>
      <c r="Q101" s="1240"/>
      <c r="R101" s="1240"/>
      <c r="S101" s="1240"/>
      <c r="T101" s="1236"/>
      <c r="U101" s="1236"/>
      <c r="V101" s="1236"/>
      <c r="W101" s="1236"/>
      <c r="X101" s="1236"/>
      <c r="Y101" s="1236"/>
      <c r="Z101" s="1236"/>
      <c r="AA101" s="1236"/>
      <c r="AB101" s="1236"/>
      <c r="AC101" s="1236"/>
      <c r="AD101" s="1236"/>
      <c r="AE101" s="1236"/>
      <c r="AF101" s="1236"/>
      <c r="AG101" s="1236"/>
      <c r="AH101" s="1236"/>
      <c r="AI101" s="1236"/>
      <c r="AJ101" s="1236"/>
    </row>
    <row r="102" spans="1:36" ht="13.95" customHeight="1">
      <c r="A102" s="1237"/>
      <c r="B102" s="1237"/>
      <c r="C102" s="1241"/>
      <c r="D102" s="1241"/>
      <c r="E102" s="1241"/>
      <c r="F102" s="1241"/>
      <c r="G102" s="1241"/>
      <c r="H102" s="1240"/>
      <c r="I102" s="1240"/>
      <c r="J102" s="1240"/>
      <c r="K102" s="1240"/>
      <c r="L102" s="1240"/>
      <c r="M102" s="1240"/>
      <c r="N102" s="1240"/>
      <c r="O102" s="1240"/>
      <c r="P102" s="1240"/>
      <c r="Q102" s="1240"/>
      <c r="R102" s="1240"/>
      <c r="S102" s="1240"/>
      <c r="T102" s="1236"/>
      <c r="U102" s="1236"/>
      <c r="V102" s="1236"/>
      <c r="W102" s="1236"/>
      <c r="X102" s="1236"/>
      <c r="Y102" s="1236"/>
      <c r="Z102" s="1236"/>
      <c r="AA102" s="1236"/>
      <c r="AB102" s="1236"/>
      <c r="AC102" s="1236"/>
      <c r="AD102" s="1236"/>
      <c r="AE102" s="1236"/>
      <c r="AF102" s="1236"/>
      <c r="AG102" s="1236"/>
      <c r="AH102" s="1236"/>
      <c r="AI102" s="1236"/>
      <c r="AJ102" s="1236"/>
    </row>
    <row r="103" spans="1:36" ht="13.95" customHeight="1">
      <c r="A103" s="1237"/>
      <c r="B103" s="1237"/>
      <c r="C103" s="1241"/>
      <c r="D103" s="1241"/>
      <c r="E103" s="1241"/>
      <c r="F103" s="1241"/>
      <c r="G103" s="1241"/>
      <c r="H103" s="1240"/>
      <c r="I103" s="1240"/>
      <c r="J103" s="1240"/>
      <c r="K103" s="1240"/>
      <c r="L103" s="1240"/>
      <c r="M103" s="1240"/>
      <c r="N103" s="1240"/>
      <c r="O103" s="1240"/>
      <c r="P103" s="1240"/>
      <c r="Q103" s="1240"/>
      <c r="R103" s="1240"/>
      <c r="S103" s="1240"/>
      <c r="T103" s="1236"/>
      <c r="U103" s="1236"/>
      <c r="V103" s="1236"/>
      <c r="W103" s="1236"/>
      <c r="X103" s="1236"/>
      <c r="Y103" s="1236"/>
      <c r="Z103" s="1236"/>
      <c r="AA103" s="1236"/>
      <c r="AB103" s="1236"/>
      <c r="AC103" s="1236"/>
      <c r="AD103" s="1236"/>
      <c r="AE103" s="1236"/>
      <c r="AF103" s="1236"/>
      <c r="AG103" s="1236"/>
      <c r="AH103" s="1236"/>
      <c r="AI103" s="1236"/>
      <c r="AJ103" s="1236"/>
    </row>
    <row r="104" spans="1:36" ht="13.95" customHeight="1">
      <c r="A104" s="1237"/>
      <c r="B104" s="1237"/>
      <c r="C104" s="1241"/>
      <c r="D104" s="1241"/>
      <c r="E104" s="1241"/>
      <c r="F104" s="1241"/>
      <c r="G104" s="1241"/>
      <c r="H104" s="1240"/>
      <c r="I104" s="1240"/>
      <c r="J104" s="1240"/>
      <c r="K104" s="1240"/>
      <c r="L104" s="1240"/>
      <c r="M104" s="1240"/>
      <c r="N104" s="1240"/>
      <c r="O104" s="1240"/>
      <c r="P104" s="1240"/>
      <c r="Q104" s="1240"/>
      <c r="R104" s="1240"/>
      <c r="S104" s="1240"/>
      <c r="T104" s="1236"/>
      <c r="U104" s="1236"/>
      <c r="V104" s="1236"/>
      <c r="W104" s="1236"/>
      <c r="X104" s="1236"/>
      <c r="Y104" s="1236"/>
      <c r="Z104" s="1236"/>
      <c r="AA104" s="1236"/>
      <c r="AB104" s="1236"/>
      <c r="AC104" s="1236"/>
      <c r="AD104" s="1236"/>
      <c r="AE104" s="1236"/>
      <c r="AF104" s="1236"/>
      <c r="AG104" s="1236"/>
      <c r="AH104" s="1236"/>
      <c r="AI104" s="1236"/>
      <c r="AJ104" s="1236"/>
    </row>
    <row r="105" spans="1:36" ht="13.95" customHeight="1">
      <c r="A105" s="1237"/>
      <c r="B105" s="1237"/>
      <c r="C105" s="1241"/>
      <c r="D105" s="1241"/>
      <c r="E105" s="1241"/>
      <c r="F105" s="1241"/>
      <c r="G105" s="1241"/>
      <c r="H105" s="1240"/>
      <c r="I105" s="1240"/>
      <c r="J105" s="1240"/>
      <c r="K105" s="1240"/>
      <c r="L105" s="1240"/>
      <c r="M105" s="1240"/>
      <c r="N105" s="1240"/>
      <c r="O105" s="1240"/>
      <c r="P105" s="1240"/>
      <c r="Q105" s="1240"/>
      <c r="R105" s="1240"/>
      <c r="S105" s="1240"/>
      <c r="T105" s="1236"/>
      <c r="U105" s="1236"/>
      <c r="V105" s="1236"/>
      <c r="W105" s="1236"/>
      <c r="X105" s="1236"/>
      <c r="Y105" s="1236"/>
      <c r="Z105" s="1236"/>
      <c r="AA105" s="1236"/>
      <c r="AB105" s="1236"/>
      <c r="AC105" s="1236"/>
      <c r="AD105" s="1236"/>
      <c r="AE105" s="1236"/>
      <c r="AF105" s="1236"/>
      <c r="AG105" s="1236"/>
      <c r="AH105" s="1236"/>
      <c r="AI105" s="1236"/>
      <c r="AJ105" s="1236"/>
    </row>
    <row r="106" spans="1:36" ht="13.95" customHeight="1">
      <c r="A106" s="1237"/>
      <c r="B106" s="1237"/>
      <c r="C106" s="1241"/>
      <c r="D106" s="1241"/>
      <c r="E106" s="1241"/>
      <c r="F106" s="1241"/>
      <c r="G106" s="124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utoFilter="0"/>
  <mergeCells count="30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AE84:AJ84"/>
    <mergeCell ref="AE83:AJ83"/>
    <mergeCell ref="AE82:AJ82"/>
    <mergeCell ref="H84:S84"/>
    <mergeCell ref="H76:S76"/>
    <mergeCell ref="H77:S77"/>
    <mergeCell ref="T81:AD81"/>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A28:A33">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filterMode="1">
    <pageSetUpPr fitToPage="1"/>
  </sheetPr>
  <dimension ref="A1:AK277"/>
  <sheetViews>
    <sheetView view="pageBreakPreview" zoomScale="75" zoomScaleNormal="46" zoomScaleSheetLayoutView="75" zoomScalePageLayoutView="70" workbookViewId="0">
      <selection activeCell="H8" sqref="H8:H10"/>
    </sheetView>
  </sheetViews>
  <sheetFormatPr defaultColWidth="2.44140625" defaultRowHeight="13.2"/>
  <cols>
    <col min="1" max="1" width="5.44140625" customWidth="1"/>
    <col min="2" max="2" width="15.109375" customWidth="1"/>
    <col min="3" max="3" width="16.44140625" style="53" customWidth="1"/>
    <col min="4" max="5" width="20.109375" customWidth="1"/>
    <col min="6" max="6" width="28.109375" customWidth="1"/>
    <col min="7" max="7" width="32.44140625" customWidth="1"/>
    <col min="8" max="8" width="4.77734375" customWidth="1"/>
    <col min="9" max="11" width="17.77734375" customWidth="1"/>
    <col min="12" max="12" width="8.6640625" customWidth="1"/>
    <col min="13" max="13" width="19" style="53" customWidth="1"/>
    <col min="14" max="14" width="11.33203125" style="384" customWidth="1"/>
    <col min="15" max="17" width="11.33203125" style="28" customWidth="1"/>
    <col min="18" max="18" width="10.6640625" customWidth="1"/>
    <col min="19" max="28" width="7" customWidth="1"/>
    <col min="29" max="29" width="14.44140625" customWidth="1"/>
    <col min="30" max="30" width="27.44140625" customWidth="1"/>
    <col min="31" max="31" width="18.44140625" hidden="1" customWidth="1"/>
    <col min="32" max="32" width="17.44140625" style="274" hidden="1" customWidth="1"/>
    <col min="33" max="33" width="22.33203125" hidden="1" customWidth="1"/>
    <col min="34" max="34" width="25.44140625" style="53" hidden="1" customWidth="1"/>
    <col min="35" max="35" width="2.44140625" hidden="1" customWidth="1"/>
    <col min="36" max="36" width="7.44140625" hidden="1" customWidth="1"/>
    <col min="37" max="37" width="2.44140625" hidden="1" customWidth="1"/>
  </cols>
  <sheetData>
    <row r="1" spans="1:36" ht="23.25" customHeight="1" thickBot="1">
      <c r="A1" s="264" t="s">
        <v>2562</v>
      </c>
      <c r="B1" s="59"/>
      <c r="C1" s="265"/>
      <c r="D1" s="264"/>
      <c r="E1" s="59"/>
      <c r="F1" s="59"/>
      <c r="G1" s="59"/>
      <c r="H1" s="59"/>
      <c r="I1" s="59"/>
      <c r="J1" s="267"/>
      <c r="K1" s="59"/>
      <c r="L1" s="268"/>
      <c r="M1" s="1326" t="s">
        <v>174</v>
      </c>
      <c r="N1" s="940"/>
      <c r="O1" s="1327"/>
      <c r="P1" s="1328" t="str">
        <f>IF(基本情報入力シート!AA16&lt;&gt;"", 基本情報入力シート!AA16, "")</f>
        <v>奈良県</v>
      </c>
      <c r="Q1" s="1329"/>
      <c r="R1" s="685"/>
      <c r="S1" s="684"/>
      <c r="T1" s="269"/>
      <c r="U1" s="269"/>
      <c r="V1" s="269"/>
      <c r="W1" s="269"/>
      <c r="X1" s="269"/>
      <c r="Y1" s="269"/>
      <c r="Z1" s="269"/>
      <c r="AA1" s="269" t="s">
        <v>2538</v>
      </c>
      <c r="AB1" s="269"/>
      <c r="AC1" s="269"/>
      <c r="AD1" s="92"/>
      <c r="AE1" s="92"/>
      <c r="AF1" s="843" t="s">
        <v>175</v>
      </c>
      <c r="AG1" s="843"/>
      <c r="AH1" s="843"/>
      <c r="AI1" s="843"/>
      <c r="AJ1" s="843"/>
    </row>
    <row r="2" spans="1:36" ht="21" customHeight="1" thickBot="1">
      <c r="A2" s="1350" t="str">
        <f>IF(AF2="加算様式を指定権者に提出", "！基本情報入力シート「１　提出の目的と提出先の自治体名」にて「加算様式を指定権者に提出」が選択されているため、この様式はグレーアウトされています。", "")</f>
        <v/>
      </c>
      <c r="B2" s="1350"/>
      <c r="C2" s="1350"/>
      <c r="D2" s="1350"/>
      <c r="E2" s="1350"/>
      <c r="F2" s="1350"/>
      <c r="G2" s="1350"/>
      <c r="H2" s="1350"/>
      <c r="I2" s="1350"/>
      <c r="J2" s="1350"/>
      <c r="K2" s="1350"/>
      <c r="L2" s="267"/>
      <c r="M2" s="267"/>
      <c r="N2" s="267"/>
      <c r="O2" s="59"/>
      <c r="P2" s="59"/>
      <c r="Q2" s="59"/>
      <c r="R2" s="680"/>
      <c r="T2" s="269"/>
      <c r="U2" s="269"/>
      <c r="V2" s="269"/>
      <c r="W2" s="269"/>
      <c r="X2" s="269"/>
      <c r="Y2" s="269"/>
      <c r="Z2" s="269"/>
      <c r="AA2" s="269"/>
      <c r="AB2" s="269"/>
      <c r="AC2" s="269"/>
      <c r="AF2" s="843" t="str">
        <f>IF(基本情報入力シート!V14="", "", 基本情報入力シート!V14)</f>
        <v/>
      </c>
      <c r="AG2" s="843"/>
      <c r="AH2" s="843"/>
      <c r="AI2" s="843"/>
      <c r="AJ2" s="843"/>
    </row>
    <row r="3" spans="1:36" ht="31.2" customHeight="1" thickBot="1">
      <c r="A3" s="1364" t="s">
        <v>178</v>
      </c>
      <c r="B3" s="1365"/>
      <c r="C3" s="1366" t="str">
        <f>IF(基本情報入力シート!L22="", "", 基本情報入力シート!L22)</f>
        <v>○○ケアサービス</v>
      </c>
      <c r="D3" s="1367"/>
      <c r="E3" s="1367"/>
      <c r="F3" s="1368"/>
      <c r="G3" s="1385" t="s">
        <v>2564</v>
      </c>
      <c r="H3" s="1385"/>
      <c r="I3" s="1385"/>
      <c r="J3" s="1385"/>
      <c r="K3" s="1385"/>
      <c r="L3" s="1385"/>
      <c r="M3" s="1385"/>
      <c r="N3" s="1385"/>
      <c r="O3" s="1385"/>
      <c r="P3" s="1385"/>
      <c r="Q3" s="1385"/>
      <c r="R3" s="270"/>
      <c r="AF3" s="843"/>
      <c r="AG3" s="843"/>
      <c r="AH3" s="843"/>
      <c r="AI3" s="843"/>
      <c r="AJ3" s="843"/>
    </row>
    <row r="4" spans="1:36" ht="54.6" customHeight="1" thickBot="1">
      <c r="A4" s="237"/>
      <c r="B4" s="237"/>
      <c r="C4" s="271"/>
      <c r="D4" s="272"/>
      <c r="E4" s="272"/>
      <c r="F4" s="272"/>
      <c r="G4" s="1385"/>
      <c r="H4" s="1385"/>
      <c r="I4" s="1385"/>
      <c r="J4" s="1385"/>
      <c r="K4" s="1385"/>
      <c r="L4" s="1385"/>
      <c r="M4" s="1385"/>
      <c r="N4" s="1385"/>
      <c r="O4" s="1385"/>
      <c r="P4" s="1385"/>
      <c r="Q4" s="1385"/>
      <c r="R4" s="270"/>
    </row>
    <row r="5" spans="1:36" ht="43.95" customHeight="1" thickBot="1">
      <c r="A5" s="1369" t="s">
        <v>447</v>
      </c>
      <c r="B5" s="1369"/>
      <c r="C5" s="1369"/>
      <c r="D5" s="1369"/>
      <c r="E5" s="1370"/>
      <c r="F5" s="576">
        <f>IFERROR(SUM(M:M),"")</f>
        <v>32558460</v>
      </c>
      <c r="G5" s="1385"/>
      <c r="H5" s="1385"/>
      <c r="I5" s="1385"/>
      <c r="J5" s="1385"/>
      <c r="K5" s="1385"/>
      <c r="L5" s="1385"/>
      <c r="M5" s="1385"/>
      <c r="N5" s="1385"/>
      <c r="O5" s="1385"/>
      <c r="P5" s="1385"/>
      <c r="Q5" s="1385"/>
      <c r="R5" s="270"/>
    </row>
    <row r="6" spans="1:36" ht="43.95" customHeight="1" thickBot="1">
      <c r="A6" s="1383" t="s">
        <v>448</v>
      </c>
      <c r="B6" s="1384"/>
      <c r="C6" s="1384"/>
      <c r="D6" s="1384"/>
      <c r="E6" s="1384"/>
      <c r="F6" s="577">
        <f>IF(C3="", 0, IF(P1="", "提出先未選択", SUMIF(D:D, P1, M:M)))</f>
        <v>30414360</v>
      </c>
      <c r="G6" s="1385"/>
      <c r="H6" s="1385"/>
      <c r="I6" s="1385"/>
      <c r="J6" s="1385"/>
      <c r="K6" s="1385"/>
      <c r="L6" s="1385"/>
      <c r="M6" s="1385"/>
      <c r="N6" s="1385"/>
      <c r="O6" s="1385"/>
      <c r="P6" s="1385"/>
      <c r="Q6" s="1385"/>
      <c r="R6" s="270"/>
    </row>
    <row r="7" spans="1:36" ht="32.4" customHeight="1" thickBot="1">
      <c r="A7" s="59"/>
      <c r="B7" s="59"/>
      <c r="C7" s="265"/>
      <c r="D7" s="59"/>
      <c r="E7" s="59"/>
      <c r="F7" s="59"/>
      <c r="G7" s="59"/>
      <c r="H7" s="59"/>
      <c r="I7" s="59"/>
      <c r="J7" s="59"/>
      <c r="K7" s="59"/>
      <c r="L7" s="59"/>
      <c r="M7" s="275"/>
      <c r="N7" s="276"/>
      <c r="O7" s="276"/>
      <c r="P7" s="99"/>
      <c r="Q7" s="99"/>
      <c r="R7" s="139"/>
      <c r="S7" s="680"/>
      <c r="U7" s="274"/>
      <c r="W7" s="53"/>
      <c r="AF7"/>
      <c r="AH7"/>
    </row>
    <row r="8" spans="1:36" ht="45" customHeight="1">
      <c r="A8" s="1371" t="s">
        <v>449</v>
      </c>
      <c r="B8" s="1374" t="s">
        <v>450</v>
      </c>
      <c r="C8" s="1377" t="s">
        <v>36</v>
      </c>
      <c r="D8" s="1360" t="s">
        <v>37</v>
      </c>
      <c r="E8" s="1361"/>
      <c r="F8" s="1380" t="s">
        <v>346</v>
      </c>
      <c r="G8" s="1357" t="s">
        <v>39</v>
      </c>
      <c r="H8" s="1354" t="s">
        <v>40</v>
      </c>
      <c r="I8" s="1377" t="s">
        <v>451</v>
      </c>
      <c r="J8" s="1330" t="s">
        <v>452</v>
      </c>
      <c r="K8" s="1333" t="s">
        <v>453</v>
      </c>
      <c r="L8" s="1336" t="s">
        <v>454</v>
      </c>
      <c r="M8" s="1351" t="s">
        <v>455</v>
      </c>
      <c r="N8" s="1339" t="s">
        <v>2565</v>
      </c>
      <c r="O8" s="1340"/>
      <c r="P8" s="1340"/>
      <c r="Q8" s="1341"/>
      <c r="R8" s="1345"/>
      <c r="S8" s="690"/>
      <c r="T8" s="680"/>
      <c r="U8" s="680"/>
      <c r="V8" s="680"/>
      <c r="W8" s="680"/>
      <c r="X8" s="680"/>
      <c r="Y8" s="680"/>
      <c r="Z8" s="680"/>
      <c r="AA8" s="680"/>
      <c r="AB8" s="680"/>
      <c r="AC8" s="680"/>
      <c r="AD8" s="139"/>
      <c r="AE8" s="139"/>
      <c r="AF8" s="277"/>
    </row>
    <row r="9" spans="1:36" ht="82.95" customHeight="1" thickBot="1">
      <c r="A9" s="1372"/>
      <c r="B9" s="1375"/>
      <c r="C9" s="1378"/>
      <c r="D9" s="1362"/>
      <c r="E9" s="1363"/>
      <c r="F9" s="1381"/>
      <c r="G9" s="1358"/>
      <c r="H9" s="1355"/>
      <c r="I9" s="1378"/>
      <c r="J9" s="1331"/>
      <c r="K9" s="1334"/>
      <c r="L9" s="1337"/>
      <c r="M9" s="1352"/>
      <c r="N9" s="1342"/>
      <c r="O9" s="1343"/>
      <c r="P9" s="1343"/>
      <c r="Q9" s="1344"/>
      <c r="R9" s="1346"/>
      <c r="S9" s="687"/>
      <c r="T9" s="688"/>
      <c r="U9" s="688"/>
      <c r="V9" s="688"/>
      <c r="W9" s="688"/>
      <c r="X9" s="688"/>
      <c r="Y9" s="688"/>
      <c r="Z9" s="688"/>
      <c r="AA9" s="688"/>
      <c r="AB9" s="688"/>
      <c r="AC9" s="688"/>
      <c r="AD9" s="139"/>
      <c r="AE9" s="139"/>
      <c r="AF9" s="277"/>
    </row>
    <row r="10" spans="1:36" ht="60" customHeight="1" thickBot="1">
      <c r="A10" s="1373"/>
      <c r="B10" s="1376"/>
      <c r="C10" s="1379"/>
      <c r="D10" s="686" t="s">
        <v>2537</v>
      </c>
      <c r="E10" s="278" t="s">
        <v>47</v>
      </c>
      <c r="F10" s="1382"/>
      <c r="G10" s="1359"/>
      <c r="H10" s="1356"/>
      <c r="I10" s="1379"/>
      <c r="J10" s="1332"/>
      <c r="K10" s="1335"/>
      <c r="L10" s="1338"/>
      <c r="M10" s="1353"/>
      <c r="N10" s="279" t="s">
        <v>456</v>
      </c>
      <c r="O10" s="279" t="s">
        <v>457</v>
      </c>
      <c r="P10" s="279" t="s">
        <v>458</v>
      </c>
      <c r="Q10" s="279" t="s">
        <v>459</v>
      </c>
      <c r="R10" s="689" t="str">
        <f>IF(C3="", "", IF(AND(COUNTA(基本情報入力シート!X40:X139)=COUNTA(基本情報入力シート!AE40:AE139), COUNTIF(I11:I110, "○")=COUNTIF(AF11:AF110, "○")), "○","×"))</f>
        <v>○</v>
      </c>
      <c r="S10" s="1347" t="s">
        <v>2539</v>
      </c>
      <c r="T10" s="1348"/>
      <c r="U10" s="1348"/>
      <c r="V10" s="1348"/>
      <c r="W10" s="1348"/>
      <c r="X10" s="1348"/>
      <c r="Y10" s="1348"/>
      <c r="Z10" s="1348"/>
      <c r="AA10" s="1348"/>
      <c r="AB10" s="1348"/>
      <c r="AC10" s="1349"/>
      <c r="AD10" s="139"/>
      <c r="AE10" s="280" t="s">
        <v>460</v>
      </c>
      <c r="AF10" s="372" t="s">
        <v>461</v>
      </c>
      <c r="AG10" s="372" t="s">
        <v>462</v>
      </c>
      <c r="AH10" s="372" t="s">
        <v>463</v>
      </c>
    </row>
    <row r="11" spans="1:36" ht="36.75" customHeight="1">
      <c r="A11" s="281">
        <v>1</v>
      </c>
      <c r="B11" s="282" t="str">
        <f>IF(基本情報入力シート!B40="","",基本情報入力シート!B40)</f>
        <v>1111111111</v>
      </c>
      <c r="C11" s="283" t="str">
        <f>IF(基本情報入力シート!L40="","",基本情報入力シート!L40)</f>
        <v>奈良県</v>
      </c>
      <c r="D11" s="283" t="str">
        <f>IF(基本情報入力シート!Q40="","",基本情報入力シート!Q40)</f>
        <v>奈良県</v>
      </c>
      <c r="E11" s="283" t="str">
        <f>IF(基本情報入力シート!V40="","",基本情報入力シート!V40)</f>
        <v>奈良市</v>
      </c>
      <c r="F11" s="283" t="str">
        <f>IF(基本情報入力シート!W40="","",基本情報入力シート!W40)</f>
        <v>○○ホームヘルプ</v>
      </c>
      <c r="G11" s="283" t="str">
        <f>IF(基本情報入力シート!X40="","",基本情報入力シート!X40)</f>
        <v>訪問介護</v>
      </c>
      <c r="H11" s="284" t="str">
        <f>IF(基本情報入力シート!Z40="","",基本情報入力シート!Z40)</f>
        <v>11</v>
      </c>
      <c r="I11" s="285" t="str">
        <f>IF(基本情報入力シート!AE40&lt;&gt;"", 基本情報入力シート!AE40, "")</f>
        <v>○</v>
      </c>
      <c r="J11" s="54">
        <f>IF(基本情報入力シート!AA40="","",基本情報入力シート!AA40)</f>
        <v>1000000</v>
      </c>
      <c r="K11" s="55">
        <f>IF(基本情報入力シート!AD40="","",基本情報入力シート!AD40)</f>
        <v>10.42</v>
      </c>
      <c r="L11" s="56">
        <f>IF(G11="","",VLOOKUP(G11,【参考】数式用!$A$3:$C$46,3,FALSE))</f>
        <v>0.105</v>
      </c>
      <c r="M11" s="286">
        <f t="shared" ref="M11:M42" si="0">IFERROR(IF(I11="○",ROUNDDOWN(ROUNDDOWN(J11*K11,0)*L11,0),""), "単価未入力")</f>
        <v>1094100</v>
      </c>
      <c r="N11" s="259" t="s">
        <v>2653</v>
      </c>
      <c r="O11" s="259"/>
      <c r="P11" s="259"/>
      <c r="Q11" s="214"/>
      <c r="R11" s="59"/>
      <c r="S11" s="1124" t="str">
        <f t="shared" ref="S11:S42" si="1">IF(AND(M11&lt;&gt;"",AF11="×"),"！複数の交付対象月を選んでいる、交付対象月が選ばれていない又は補助金を申請予定でないのに交付対象月が選ばれています。", "")</f>
        <v/>
      </c>
      <c r="T11" s="1124"/>
      <c r="U11" s="1124"/>
      <c r="V11" s="1124"/>
      <c r="W11" s="1124"/>
      <c r="X11" s="1124"/>
      <c r="Y11" s="1124"/>
      <c r="Z11" s="1124"/>
      <c r="AA11" s="1124"/>
      <c r="AB11" s="1124"/>
      <c r="AC11" s="1124"/>
      <c r="AE11" s="300" t="str">
        <f t="shared" ref="AE11:AE42" si="2">IF(AND(G11&lt;&gt;"",I11="○"), "色付け", "")</f>
        <v>色付け</v>
      </c>
      <c r="AF11" s="300" t="str">
        <f t="shared" ref="AF11:AF42" si="3">IF(COUNTIF(N11:Q11, "○")=1, "○", "×")</f>
        <v>○</v>
      </c>
      <c r="AG11" s="287" t="e">
        <f>D11&amp;I11&amp;#REF!</f>
        <v>#REF!</v>
      </c>
      <c r="AH11" s="288" t="e">
        <f>IF(#REF!="○", F11, "")</f>
        <v>#REF!</v>
      </c>
    </row>
    <row r="12" spans="1:36" ht="36.75" hidden="1" customHeight="1">
      <c r="A12" s="289">
        <f>A11+1</f>
        <v>2</v>
      </c>
      <c r="B12" s="290" t="str">
        <f>IF(基本情報入力シート!B41="","",基本情報入力シート!B41)</f>
        <v>2222222222</v>
      </c>
      <c r="C12" s="291" t="str">
        <f>IF(基本情報入力シート!L41="","",基本情報入力シート!L41)</f>
        <v>大阪府</v>
      </c>
      <c r="D12" s="291" t="str">
        <f>IF(基本情報入力シート!Q41="","",基本情報入力シート!Q41)</f>
        <v>大阪府</v>
      </c>
      <c r="E12" s="291" t="str">
        <f>IF(基本情報入力シート!V41="","",基本情報入力シート!V41)</f>
        <v>千早赤阪村</v>
      </c>
      <c r="F12" s="291" t="str">
        <f>IF(基本情報入力シート!W41="","",基本情報入力シート!W41)</f>
        <v>××ホームヘルプ</v>
      </c>
      <c r="G12" s="291" t="str">
        <f>IF(基本情報入力シート!X41="","",基本情報入力シート!X41)</f>
        <v>訪問介護</v>
      </c>
      <c r="H12" s="284" t="str">
        <f>IF(基本情報入力シート!Z41="","",基本情報入力シート!Z41)</f>
        <v>11</v>
      </c>
      <c r="I12" s="285" t="str">
        <f>IF(基本情報入力シート!AE41&lt;&gt;"", 基本情報入力シート!AE41, "")</f>
        <v>○</v>
      </c>
      <c r="J12" s="54">
        <f>IF(基本情報入力シート!AA41="","",基本情報入力シート!AA41)</f>
        <v>1000000</v>
      </c>
      <c r="K12" s="57">
        <f>IF(基本情報入力シート!AD41="","",基本情報入力シート!AD41)</f>
        <v>10.42</v>
      </c>
      <c r="L12" s="56">
        <f>IF(G12="","",VLOOKUP(G12,【参考】数式用!$A$3:$C$46,3,FALSE))</f>
        <v>0.105</v>
      </c>
      <c r="M12" s="292">
        <f t="shared" si="0"/>
        <v>1094100</v>
      </c>
      <c r="N12" s="259" t="s">
        <v>2653</v>
      </c>
      <c r="O12" s="260"/>
      <c r="P12" s="260"/>
      <c r="Q12" s="213"/>
      <c r="R12" s="59"/>
      <c r="S12" s="1124" t="str">
        <f t="shared" si="1"/>
        <v/>
      </c>
      <c r="T12" s="1124"/>
      <c r="U12" s="1124"/>
      <c r="V12" s="1124"/>
      <c r="W12" s="1124"/>
      <c r="X12" s="1124"/>
      <c r="Y12" s="1124"/>
      <c r="Z12" s="1124"/>
      <c r="AA12" s="1124"/>
      <c r="AB12" s="1124"/>
      <c r="AC12" s="1124"/>
      <c r="AE12" s="618" t="str">
        <f t="shared" si="2"/>
        <v>色付け</v>
      </c>
      <c r="AF12" s="300" t="str">
        <f t="shared" si="3"/>
        <v>○</v>
      </c>
      <c r="AG12" s="287" t="e">
        <f>D12&amp;I12&amp;#REF!</f>
        <v>#REF!</v>
      </c>
      <c r="AH12" s="288" t="e">
        <f>IF(#REF!="○", F12, "")</f>
        <v>#REF!</v>
      </c>
    </row>
    <row r="13" spans="1:36" ht="36.75" hidden="1" customHeight="1">
      <c r="A13" s="289">
        <f t="shared" ref="A13:A76" si="4">A12+1</f>
        <v>3</v>
      </c>
      <c r="B13" s="290" t="str">
        <f>IF(基本情報入力シート!B42="","",基本情報入力シート!B42)</f>
        <v>3333333333</v>
      </c>
      <c r="C13" s="291" t="str">
        <f>IF(基本情報入力シート!L42="","",基本情報入力シート!L42)</f>
        <v>京都府</v>
      </c>
      <c r="D13" s="291" t="str">
        <f>IF(基本情報入力シート!Q42="","",基本情報入力シート!Q42)</f>
        <v>京都府</v>
      </c>
      <c r="E13" s="291" t="str">
        <f>IF(基本情報入力シート!V42="","",基本情報入力シート!V42)</f>
        <v>与謝野町</v>
      </c>
      <c r="F13" s="291" t="str">
        <f>IF(基本情報入力シート!W42="","",基本情報入力シート!W42)</f>
        <v>△△ホームヘルプ</v>
      </c>
      <c r="G13" s="291" t="str">
        <f>IF(基本情報入力シート!X42="","",基本情報入力シート!X42)</f>
        <v>訪問介護</v>
      </c>
      <c r="H13" s="284" t="str">
        <f>IF(基本情報入力シート!Z42="","",基本情報入力シート!Z42)</f>
        <v>11</v>
      </c>
      <c r="I13" s="285" t="str">
        <f>IF(基本情報入力シート!AE42&lt;&gt;"", 基本情報入力シート!AE42, "")</f>
        <v>○</v>
      </c>
      <c r="J13" s="54">
        <f>IF(基本情報入力シート!AA42="","",基本情報入力シート!AA42)</f>
        <v>1000000</v>
      </c>
      <c r="K13" s="57">
        <f>IF(基本情報入力シート!AD42="","",基本情報入力シート!AD42)</f>
        <v>10</v>
      </c>
      <c r="L13" s="56">
        <f>IF(G13="","",VLOOKUP(G13,【参考】数式用!$A$3:$C$46,3,FALSE))</f>
        <v>0.105</v>
      </c>
      <c r="M13" s="292">
        <f t="shared" si="0"/>
        <v>1050000</v>
      </c>
      <c r="N13" s="259" t="s">
        <v>2653</v>
      </c>
      <c r="O13" s="260"/>
      <c r="P13" s="260"/>
      <c r="Q13" s="213"/>
      <c r="R13" s="59"/>
      <c r="S13" s="1124" t="str">
        <f t="shared" si="1"/>
        <v/>
      </c>
      <c r="T13" s="1124"/>
      <c r="U13" s="1124"/>
      <c r="V13" s="1124"/>
      <c r="W13" s="1124"/>
      <c r="X13" s="1124"/>
      <c r="Y13" s="1124"/>
      <c r="Z13" s="1124"/>
      <c r="AA13" s="1124"/>
      <c r="AB13" s="1124"/>
      <c r="AC13" s="1124"/>
      <c r="AE13" s="618" t="str">
        <f t="shared" si="2"/>
        <v>色付け</v>
      </c>
      <c r="AF13" s="300" t="str">
        <f t="shared" si="3"/>
        <v>○</v>
      </c>
      <c r="AG13" s="287" t="e">
        <f>D13&amp;I13&amp;#REF!</f>
        <v>#REF!</v>
      </c>
      <c r="AH13" s="288" t="e">
        <f>IF(#REF!="○", F13, "")</f>
        <v>#REF!</v>
      </c>
    </row>
    <row r="14" spans="1:36" ht="36.75" customHeight="1">
      <c r="A14" s="289">
        <f>A13+1</f>
        <v>4</v>
      </c>
      <c r="B14" s="290" t="str">
        <f>IF(基本情報入力シート!B43="","",基本情報入力シート!B43)</f>
        <v>4444444444</v>
      </c>
      <c r="C14" s="291" t="str">
        <f>IF(基本情報入力シート!L43="","",基本情報入力シート!L43)</f>
        <v>奈良市</v>
      </c>
      <c r="D14" s="291" t="str">
        <f>IF(基本情報入力シート!Q43="","",基本情報入力シート!Q43)</f>
        <v>奈良県</v>
      </c>
      <c r="E14" s="291" t="str">
        <f>IF(基本情報入力シート!V43="","",基本情報入力シート!V43)</f>
        <v>奈良市</v>
      </c>
      <c r="F14" s="291" t="str">
        <f>IF(基本情報入力シート!W43="","",基本情報入力シート!W43)</f>
        <v>■■ホームヘルプ</v>
      </c>
      <c r="G14" s="291" t="str">
        <f>IF(基本情報入力シート!X43="","",基本情報入力シート!X43)</f>
        <v>訪問介護</v>
      </c>
      <c r="H14" s="284" t="str">
        <f>IF(基本情報入力シート!Z43="","",基本情報入力シート!Z43)</f>
        <v>11</v>
      </c>
      <c r="I14" s="285" t="str">
        <f>IF(基本情報入力シート!AE43&lt;&gt;"", 基本情報入力シート!AE43, "")</f>
        <v>○</v>
      </c>
      <c r="J14" s="54">
        <f>IF(基本情報入力シート!AA43="","",基本情報入力シート!AA43)</f>
        <v>1000000</v>
      </c>
      <c r="K14" s="57">
        <f>IF(基本情報入力シート!AD43="","",基本情報入力シート!AD43)</f>
        <v>10.42</v>
      </c>
      <c r="L14" s="56">
        <f>IF(G14="","",VLOOKUP(G14,【参考】数式用!$A$3:$C$46,3,FALSE))</f>
        <v>0.105</v>
      </c>
      <c r="M14" s="292">
        <f t="shared" si="0"/>
        <v>1094100</v>
      </c>
      <c r="N14" s="259" t="s">
        <v>2653</v>
      </c>
      <c r="O14" s="260"/>
      <c r="P14" s="260"/>
      <c r="Q14" s="213"/>
      <c r="R14" s="59"/>
      <c r="S14" s="1124" t="str">
        <f t="shared" si="1"/>
        <v/>
      </c>
      <c r="T14" s="1124"/>
      <c r="U14" s="1124"/>
      <c r="V14" s="1124"/>
      <c r="W14" s="1124"/>
      <c r="X14" s="1124"/>
      <c r="Y14" s="1124"/>
      <c r="Z14" s="1124"/>
      <c r="AA14" s="1124"/>
      <c r="AB14" s="1124"/>
      <c r="AC14" s="1124"/>
      <c r="AE14" s="618" t="str">
        <f t="shared" si="2"/>
        <v>色付け</v>
      </c>
      <c r="AF14" s="300" t="str">
        <f t="shared" si="3"/>
        <v>○</v>
      </c>
      <c r="AG14" s="287" t="e">
        <f>D14&amp;I14&amp;#REF!</f>
        <v>#REF!</v>
      </c>
      <c r="AH14" s="288" t="e">
        <f>IF(#REF!="○", F14, "")</f>
        <v>#REF!</v>
      </c>
    </row>
    <row r="15" spans="1:36" ht="36.75" customHeight="1">
      <c r="A15" s="289">
        <f t="shared" si="4"/>
        <v>5</v>
      </c>
      <c r="B15" s="290" t="str">
        <f>IF(基本情報入力シート!B44="","",基本情報入力シート!B44)</f>
        <v>1111111111</v>
      </c>
      <c r="C15" s="291" t="str">
        <f>IF(基本情報入力シート!L44="","",基本情報入力シート!L44)</f>
        <v>大和高田市</v>
      </c>
      <c r="D15" s="291" t="str">
        <f>IF(基本情報入力シート!Q44="","",基本情報入力シート!Q44)</f>
        <v>奈良県</v>
      </c>
      <c r="E15" s="291" t="str">
        <f>IF(基本情報入力シート!V44="","",基本情報入力シート!V44)</f>
        <v>大和高田市</v>
      </c>
      <c r="F15" s="291" t="str">
        <f>IF(基本情報入力シート!W44="","",基本情報入力シート!W44)</f>
        <v>◇◇ホームヘルプ</v>
      </c>
      <c r="G15" s="291" t="str">
        <f>IF(基本情報入力シート!X44="","",基本情報入力シート!X44)</f>
        <v>夜間対応型訪問介護</v>
      </c>
      <c r="H15" s="284" t="str">
        <f>IF(基本情報入力シート!Z44="","",基本情報入力シート!Z44)</f>
        <v>71</v>
      </c>
      <c r="I15" s="285" t="str">
        <f>IF(基本情報入力シート!AE44&lt;&gt;"", 基本情報入力シート!AE44, "")</f>
        <v>○</v>
      </c>
      <c r="J15" s="54">
        <f>IF(基本情報入力シート!AA44="","",基本情報入力シート!AA44)</f>
        <v>1000000</v>
      </c>
      <c r="K15" s="57">
        <f>IF(基本情報入力シート!AD44="","",基本情報入力シート!AD44)</f>
        <v>10.210000000000001</v>
      </c>
      <c r="L15" s="56">
        <f>IF(G15="","",VLOOKUP(G15,【参考】数式用!$A$3:$C$46,3,FALSE))</f>
        <v>0.105</v>
      </c>
      <c r="M15" s="292">
        <f t="shared" si="0"/>
        <v>1072050</v>
      </c>
      <c r="N15" s="259" t="s">
        <v>2653</v>
      </c>
      <c r="O15" s="260"/>
      <c r="P15" s="260"/>
      <c r="Q15" s="213"/>
      <c r="R15" s="59"/>
      <c r="S15" s="1124" t="str">
        <f t="shared" si="1"/>
        <v/>
      </c>
      <c r="T15" s="1124"/>
      <c r="U15" s="1124"/>
      <c r="V15" s="1124"/>
      <c r="W15" s="1124"/>
      <c r="X15" s="1124"/>
      <c r="Y15" s="1124"/>
      <c r="Z15" s="1124"/>
      <c r="AA15" s="1124"/>
      <c r="AB15" s="1124"/>
      <c r="AC15" s="1124"/>
      <c r="AE15" s="618" t="str">
        <f t="shared" si="2"/>
        <v>色付け</v>
      </c>
      <c r="AF15" s="300" t="str">
        <f t="shared" si="3"/>
        <v>○</v>
      </c>
      <c r="AG15" s="287" t="e">
        <f>D15&amp;I15&amp;#REF!</f>
        <v>#REF!</v>
      </c>
      <c r="AH15" s="288" t="e">
        <f>IF(#REF!="○", F15, "")</f>
        <v>#REF!</v>
      </c>
    </row>
    <row r="16" spans="1:36" ht="36.75" customHeight="1">
      <c r="A16" s="289">
        <f t="shared" si="4"/>
        <v>6</v>
      </c>
      <c r="B16" s="290" t="str">
        <f>IF(基本情報入力シート!B45="","",基本情報入力シート!B45)</f>
        <v>1111111112</v>
      </c>
      <c r="C16" s="291" t="str">
        <f>IF(基本情報入力シート!L45="","",基本情報入力シート!L45)</f>
        <v>大和郡山市</v>
      </c>
      <c r="D16" s="291" t="str">
        <f>IF(基本情報入力シート!Q45="","",基本情報入力シート!Q45)</f>
        <v>奈良県</v>
      </c>
      <c r="E16" s="291" t="str">
        <f>IF(基本情報入力シート!V45="","",基本情報入力シート!V45)</f>
        <v>大和郡山市</v>
      </c>
      <c r="F16" s="291" t="str">
        <f>IF(基本情報入力シート!W45="","",基本情報入力シート!W45)</f>
        <v>○○定巡</v>
      </c>
      <c r="G16" s="291" t="str">
        <f>IF(基本情報入力シート!X45="","",基本情報入力シート!X45)</f>
        <v>定期巡回・随時対応型訪問介護看護</v>
      </c>
      <c r="H16" s="284" t="str">
        <f>IF(基本情報入力シート!Z45="","",基本情報入力シート!Z45)</f>
        <v>76</v>
      </c>
      <c r="I16" s="285" t="str">
        <f>IF(基本情報入力シート!AE45&lt;&gt;"", 基本情報入力シート!AE45, "")</f>
        <v>○</v>
      </c>
      <c r="J16" s="54">
        <f>IF(基本情報入力シート!AA45="","",基本情報入力シート!AA45)</f>
        <v>1000000</v>
      </c>
      <c r="K16" s="57">
        <f>IF(基本情報入力シート!AD45="","",基本情報入力シート!AD45)</f>
        <v>10.42</v>
      </c>
      <c r="L16" s="56">
        <f>IF(G16="","",VLOOKUP(G16,【参考】数式用!$A$3:$C$46,3,FALSE))</f>
        <v>0.105</v>
      </c>
      <c r="M16" s="292">
        <f t="shared" si="0"/>
        <v>1094100</v>
      </c>
      <c r="N16" s="259" t="s">
        <v>2653</v>
      </c>
      <c r="O16" s="260"/>
      <c r="P16" s="260"/>
      <c r="Q16" s="213"/>
      <c r="R16" s="59"/>
      <c r="S16" s="1124" t="str">
        <f t="shared" si="1"/>
        <v/>
      </c>
      <c r="T16" s="1124"/>
      <c r="U16" s="1124"/>
      <c r="V16" s="1124"/>
      <c r="W16" s="1124"/>
      <c r="X16" s="1124"/>
      <c r="Y16" s="1124"/>
      <c r="Z16" s="1124"/>
      <c r="AA16" s="1124"/>
      <c r="AB16" s="1124"/>
      <c r="AC16" s="1124"/>
      <c r="AE16" s="618" t="str">
        <f t="shared" si="2"/>
        <v>色付け</v>
      </c>
      <c r="AF16" s="300" t="str">
        <f t="shared" si="3"/>
        <v>○</v>
      </c>
      <c r="AG16" s="287" t="e">
        <f>D16&amp;I16&amp;#REF!</f>
        <v>#REF!</v>
      </c>
      <c r="AH16" s="288" t="e">
        <f>IF(#REF!="○", F16, "")</f>
        <v>#REF!</v>
      </c>
    </row>
    <row r="17" spans="1:34" ht="36.75" customHeight="1">
      <c r="A17" s="289">
        <f t="shared" si="4"/>
        <v>7</v>
      </c>
      <c r="B17" s="290" t="str">
        <f>IF(基本情報入力シート!B46="","",基本情報入力シート!B46)</f>
        <v>1111111113</v>
      </c>
      <c r="C17" s="291" t="str">
        <f>IF(基本情報入力シート!L46="","",基本情報入力シート!L46)</f>
        <v>奈良県</v>
      </c>
      <c r="D17" s="291" t="str">
        <f>IF(基本情報入力シート!Q46="","",基本情報入力シート!Q46)</f>
        <v>奈良県</v>
      </c>
      <c r="E17" s="291" t="str">
        <f>IF(基本情報入力シート!V46="","",基本情報入力シート!V46)</f>
        <v>奈良市</v>
      </c>
      <c r="F17" s="291" t="str">
        <f>IF(基本情報入力シート!W46="","",基本情報入力シート!W46)</f>
        <v>○○訪問入浴介護</v>
      </c>
      <c r="G17" s="291" t="str">
        <f>IF(基本情報入力シート!X46="","",基本情報入力シート!X46)</f>
        <v>訪問入浴介護</v>
      </c>
      <c r="H17" s="284" t="str">
        <f>IF(基本情報入力シート!Z46="","",基本情報入力シート!Z46)</f>
        <v>12</v>
      </c>
      <c r="I17" s="285" t="str">
        <f>IF(基本情報入力シート!AE46&lt;&gt;"", 基本情報入力シート!AE46, "")</f>
        <v>○</v>
      </c>
      <c r="J17" s="54">
        <f>IF(基本情報入力シート!AA46="","",基本情報入力シート!AA46)</f>
        <v>1000000</v>
      </c>
      <c r="K17" s="57">
        <f>IF(基本情報入力シート!AD46="","",基本情報入力シート!AD46)</f>
        <v>10.42</v>
      </c>
      <c r="L17" s="56">
        <f>IF(G17="","",VLOOKUP(G17,【参考】数式用!$A$3:$C$46,3,FALSE))</f>
        <v>6.3E-2</v>
      </c>
      <c r="M17" s="292">
        <f t="shared" si="0"/>
        <v>656460</v>
      </c>
      <c r="N17" s="259" t="s">
        <v>2653</v>
      </c>
      <c r="O17" s="260"/>
      <c r="P17" s="260"/>
      <c r="Q17" s="213"/>
      <c r="R17" s="59"/>
      <c r="S17" s="1124" t="str">
        <f t="shared" si="1"/>
        <v/>
      </c>
      <c r="T17" s="1124"/>
      <c r="U17" s="1124"/>
      <c r="V17" s="1124"/>
      <c r="W17" s="1124"/>
      <c r="X17" s="1124"/>
      <c r="Y17" s="1124"/>
      <c r="Z17" s="1124"/>
      <c r="AA17" s="1124"/>
      <c r="AB17" s="1124"/>
      <c r="AC17" s="1124"/>
      <c r="AE17" s="618" t="str">
        <f t="shared" si="2"/>
        <v>色付け</v>
      </c>
      <c r="AF17" s="300" t="str">
        <f t="shared" si="3"/>
        <v>○</v>
      </c>
      <c r="AG17" s="287" t="e">
        <f>D17&amp;I17&amp;#REF!</f>
        <v>#REF!</v>
      </c>
      <c r="AH17" s="288" t="e">
        <f>IF(#REF!="○", F17, "")</f>
        <v>#REF!</v>
      </c>
    </row>
    <row r="18" spans="1:34" ht="36.75" customHeight="1">
      <c r="A18" s="289">
        <f t="shared" si="4"/>
        <v>8</v>
      </c>
      <c r="B18" s="290" t="str">
        <f>IF(基本情報入力シート!B47="","",基本情報入力シート!B47)</f>
        <v>1111111114</v>
      </c>
      <c r="C18" s="291" t="str">
        <f>IF(基本情報入力シート!L47="","",基本情報入力シート!L47)</f>
        <v>奈良県</v>
      </c>
      <c r="D18" s="291" t="str">
        <f>IF(基本情報入力シート!Q47="","",基本情報入力シート!Q47)</f>
        <v>奈良県</v>
      </c>
      <c r="E18" s="291" t="str">
        <f>IF(基本情報入力シート!V47="","",基本情報入力シート!V47)</f>
        <v>奈良市</v>
      </c>
      <c r="F18" s="291" t="str">
        <f>IF(基本情報入力シート!W47="","",基本情報入力シート!W47)</f>
        <v>○○訪問入浴介護</v>
      </c>
      <c r="G18" s="291" t="str">
        <f>IF(基本情報入力シート!X47="","",基本情報入力シート!X47)</f>
        <v>介護予防訪問入浴介護</v>
      </c>
      <c r="H18" s="284" t="str">
        <f>IF(基本情報入力シート!Z47="","",基本情報入力シート!Z47)</f>
        <v>62</v>
      </c>
      <c r="I18" s="285" t="str">
        <f>IF(基本情報入力シート!AE47&lt;&gt;"", 基本情報入力シート!AE47, "")</f>
        <v>○</v>
      </c>
      <c r="J18" s="54">
        <f>IF(基本情報入力シート!AA47="","",基本情報入力シート!AA47)</f>
        <v>1000000</v>
      </c>
      <c r="K18" s="57">
        <f>IF(基本情報入力シート!AD47="","",基本情報入力シート!AD47)</f>
        <v>10.42</v>
      </c>
      <c r="L18" s="56">
        <f>IF(G18="","",VLOOKUP(G18,【参考】数式用!$A$3:$C$46,3,FALSE))</f>
        <v>6.3E-2</v>
      </c>
      <c r="M18" s="292">
        <f t="shared" si="0"/>
        <v>656460</v>
      </c>
      <c r="N18" s="259" t="s">
        <v>2653</v>
      </c>
      <c r="O18" s="260"/>
      <c r="P18" s="260"/>
      <c r="Q18" s="213"/>
      <c r="R18" s="59"/>
      <c r="S18" s="1124" t="str">
        <f t="shared" si="1"/>
        <v/>
      </c>
      <c r="T18" s="1124"/>
      <c r="U18" s="1124"/>
      <c r="V18" s="1124"/>
      <c r="W18" s="1124"/>
      <c r="X18" s="1124"/>
      <c r="Y18" s="1124"/>
      <c r="Z18" s="1124"/>
      <c r="AA18" s="1124"/>
      <c r="AB18" s="1124"/>
      <c r="AC18" s="1124"/>
      <c r="AE18" s="618" t="str">
        <f t="shared" si="2"/>
        <v>色付け</v>
      </c>
      <c r="AF18" s="300" t="str">
        <f t="shared" si="3"/>
        <v>○</v>
      </c>
      <c r="AG18" s="287" t="e">
        <f>D18&amp;I18&amp;#REF!</f>
        <v>#REF!</v>
      </c>
      <c r="AH18" s="288" t="e">
        <f>IF(#REF!="○", F18, "")</f>
        <v>#REF!</v>
      </c>
    </row>
    <row r="19" spans="1:34" ht="36.75" customHeight="1">
      <c r="A19" s="289">
        <f t="shared" si="4"/>
        <v>9</v>
      </c>
      <c r="B19" s="290" t="str">
        <f>IF(基本情報入力シート!B48="","",基本情報入力シート!B48)</f>
        <v>1111111115</v>
      </c>
      <c r="C19" s="291" t="str">
        <f>IF(基本情報入力シート!L48="","",基本情報入力シート!L48)</f>
        <v>奈良県</v>
      </c>
      <c r="D19" s="291" t="str">
        <f>IF(基本情報入力シート!Q48="","",基本情報入力シート!Q48)</f>
        <v>奈良県</v>
      </c>
      <c r="E19" s="291" t="str">
        <f>IF(基本情報入力シート!V48="","",基本情報入力シート!V48)</f>
        <v>奈良市</v>
      </c>
      <c r="F19" s="291" t="str">
        <f>IF(基本情報入力シート!W48="","",基本情報入力シート!W48)</f>
        <v>○○デイケア</v>
      </c>
      <c r="G19" s="291" t="str">
        <f>IF(基本情報入力シート!X48="","",基本情報入力シート!X48)</f>
        <v>通所介護</v>
      </c>
      <c r="H19" s="284" t="str">
        <f>IF(基本情報入力シート!Z48="","",基本情報入力シート!Z48)</f>
        <v>15</v>
      </c>
      <c r="I19" s="285" t="str">
        <f>IF(基本情報入力シート!AE48&lt;&gt;"", 基本情報入力シート!AE48, "")</f>
        <v>○</v>
      </c>
      <c r="J19" s="54">
        <f>IF(基本情報入力シート!AA48="","",基本情報入力シート!AA48)</f>
        <v>1000000</v>
      </c>
      <c r="K19" s="57">
        <f>IF(基本情報入力シート!AD48="","",基本情報入力シート!AD48)</f>
        <v>10.27</v>
      </c>
      <c r="L19" s="56">
        <f>IF(G19="","",VLOOKUP(G19,【参考】数式用!$A$3:$C$46,3,FALSE))</f>
        <v>6.4000000000000001E-2</v>
      </c>
      <c r="M19" s="292">
        <f t="shared" si="0"/>
        <v>657280</v>
      </c>
      <c r="N19" s="259" t="s">
        <v>2653</v>
      </c>
      <c r="O19" s="260"/>
      <c r="P19" s="260"/>
      <c r="Q19" s="213"/>
      <c r="R19" s="59"/>
      <c r="S19" s="1124" t="str">
        <f t="shared" si="1"/>
        <v/>
      </c>
      <c r="T19" s="1124"/>
      <c r="U19" s="1124"/>
      <c r="V19" s="1124"/>
      <c r="W19" s="1124"/>
      <c r="X19" s="1124"/>
      <c r="Y19" s="1124"/>
      <c r="Z19" s="1124"/>
      <c r="AA19" s="1124"/>
      <c r="AB19" s="1124"/>
      <c r="AC19" s="1124"/>
      <c r="AE19" s="618" t="str">
        <f t="shared" si="2"/>
        <v>色付け</v>
      </c>
      <c r="AF19" s="300" t="str">
        <f t="shared" si="3"/>
        <v>○</v>
      </c>
      <c r="AG19" s="287" t="e">
        <f>D19&amp;I19&amp;#REF!</f>
        <v>#REF!</v>
      </c>
      <c r="AH19" s="288" t="e">
        <f>IF(#REF!="○", F19, "")</f>
        <v>#REF!</v>
      </c>
    </row>
    <row r="20" spans="1:34" ht="36.75" customHeight="1">
      <c r="A20" s="289">
        <f t="shared" si="4"/>
        <v>10</v>
      </c>
      <c r="B20" s="290" t="str">
        <f>IF(基本情報入力シート!B49="","",基本情報入力シート!B49)</f>
        <v>1111111116</v>
      </c>
      <c r="C20" s="291" t="str">
        <f>IF(基本情報入力シート!L49="","",基本情報入力シート!L49)</f>
        <v>天理市</v>
      </c>
      <c r="D20" s="291" t="str">
        <f>IF(基本情報入力シート!Q49="","",基本情報入力シート!Q49)</f>
        <v>奈良県</v>
      </c>
      <c r="E20" s="291" t="str">
        <f>IF(基本情報入力シート!V49="","",基本情報入力シート!V49)</f>
        <v>奈良市</v>
      </c>
      <c r="F20" s="291" t="str">
        <f>IF(基本情報入力シート!W49="","",基本情報入力シート!W49)</f>
        <v>○○デイケア</v>
      </c>
      <c r="G20" s="291" t="str">
        <f>IF(基本情報入力シート!X49="","",基本情報入力シート!X49)</f>
        <v>地域密着型通所介護</v>
      </c>
      <c r="H20" s="284" t="str">
        <f>IF(基本情報入力シート!Z49="","",基本情報入力シート!Z49)</f>
        <v>78</v>
      </c>
      <c r="I20" s="285" t="str">
        <f>IF(基本情報入力シート!AE49&lt;&gt;"", 基本情報入力シート!AE49, "")</f>
        <v>○</v>
      </c>
      <c r="J20" s="54">
        <f>IF(基本情報入力シート!AA49="","",基本情報入力シート!AA49)</f>
        <v>1000000</v>
      </c>
      <c r="K20" s="57">
        <f>IF(基本情報入力シート!AD49="","",基本情報入力シート!AD49)</f>
        <v>10.27</v>
      </c>
      <c r="L20" s="56">
        <f>IF(G20="","",VLOOKUP(G20,【参考】数式用!$A$3:$C$46,3,FALSE))</f>
        <v>6.4000000000000001E-2</v>
      </c>
      <c r="M20" s="292">
        <f t="shared" si="0"/>
        <v>657280</v>
      </c>
      <c r="N20" s="259" t="s">
        <v>2653</v>
      </c>
      <c r="O20" s="260"/>
      <c r="P20" s="260"/>
      <c r="Q20" s="213"/>
      <c r="R20" s="59"/>
      <c r="S20" s="1124" t="str">
        <f t="shared" si="1"/>
        <v/>
      </c>
      <c r="T20" s="1124"/>
      <c r="U20" s="1124"/>
      <c r="V20" s="1124"/>
      <c r="W20" s="1124"/>
      <c r="X20" s="1124"/>
      <c r="Y20" s="1124"/>
      <c r="Z20" s="1124"/>
      <c r="AA20" s="1124"/>
      <c r="AB20" s="1124"/>
      <c r="AC20" s="1124"/>
      <c r="AE20" s="618" t="str">
        <f t="shared" si="2"/>
        <v>色付け</v>
      </c>
      <c r="AF20" s="300" t="str">
        <f t="shared" si="3"/>
        <v>○</v>
      </c>
      <c r="AG20" s="287" t="e">
        <f>D20&amp;I20&amp;#REF!</f>
        <v>#REF!</v>
      </c>
      <c r="AH20" s="288" t="e">
        <f>IF(#REF!="○", F20, "")</f>
        <v>#REF!</v>
      </c>
    </row>
    <row r="21" spans="1:34" ht="36.75" customHeight="1">
      <c r="A21" s="289">
        <f t="shared" si="4"/>
        <v>11</v>
      </c>
      <c r="B21" s="290" t="str">
        <f>IF(基本情報入力シート!B50="","",基本情報入力シート!B50)</f>
        <v>1111111117</v>
      </c>
      <c r="C21" s="291" t="str">
        <f>IF(基本情報入力シート!L50="","",基本情報入力シート!L50)</f>
        <v>奈良県</v>
      </c>
      <c r="D21" s="291" t="str">
        <f>IF(基本情報入力シート!Q50="","",基本情報入力シート!Q50)</f>
        <v>奈良県</v>
      </c>
      <c r="E21" s="291" t="str">
        <f>IF(基本情報入力シート!V50="","",基本情報入力シート!V50)</f>
        <v>奈良市</v>
      </c>
      <c r="F21" s="291" t="str">
        <f>IF(基本情報入力シート!W50="","",基本情報入力シート!W50)</f>
        <v>○○リハ</v>
      </c>
      <c r="G21" s="291" t="str">
        <f>IF(基本情報入力シート!X50="","",基本情報入力シート!X50)</f>
        <v>通所リハビリテーション</v>
      </c>
      <c r="H21" s="284" t="str">
        <f>IF(基本情報入力シート!Z50="","",基本情報入力シート!Z50)</f>
        <v>16</v>
      </c>
      <c r="I21" s="285" t="str">
        <f>IF(基本情報入力シート!AE50&lt;&gt;"", 基本情報入力シート!AE50, "")</f>
        <v>○</v>
      </c>
      <c r="J21" s="54">
        <f>IF(基本情報入力シート!AA50="","",基本情報入力シート!AA50)</f>
        <v>1000000</v>
      </c>
      <c r="K21" s="57">
        <f>IF(基本情報入力シート!AD50="","",基本情報入力シート!AD50)</f>
        <v>10.33</v>
      </c>
      <c r="L21" s="56">
        <f>IF(G21="","",VLOOKUP(G21,【参考】数式用!$A$3:$C$46,3,FALSE))</f>
        <v>5.5E-2</v>
      </c>
      <c r="M21" s="292">
        <f t="shared" si="0"/>
        <v>568150</v>
      </c>
      <c r="N21" s="259" t="s">
        <v>2653</v>
      </c>
      <c r="O21" s="260"/>
      <c r="P21" s="260"/>
      <c r="Q21" s="213"/>
      <c r="R21" s="59"/>
      <c r="S21" s="1124" t="str">
        <f t="shared" si="1"/>
        <v/>
      </c>
      <c r="T21" s="1124"/>
      <c r="U21" s="1124"/>
      <c r="V21" s="1124"/>
      <c r="W21" s="1124"/>
      <c r="X21" s="1124"/>
      <c r="Y21" s="1124"/>
      <c r="Z21" s="1124"/>
      <c r="AA21" s="1124"/>
      <c r="AB21" s="1124"/>
      <c r="AC21" s="1124"/>
      <c r="AE21" s="618" t="str">
        <f t="shared" si="2"/>
        <v>色付け</v>
      </c>
      <c r="AF21" s="300" t="str">
        <f t="shared" si="3"/>
        <v>○</v>
      </c>
      <c r="AG21" s="287" t="e">
        <f>D21&amp;I21&amp;#REF!</f>
        <v>#REF!</v>
      </c>
      <c r="AH21" s="288" t="e">
        <f>IF(#REF!="○", F21, "")</f>
        <v>#REF!</v>
      </c>
    </row>
    <row r="22" spans="1:34" ht="36.75" customHeight="1">
      <c r="A22" s="289">
        <f t="shared" si="4"/>
        <v>12</v>
      </c>
      <c r="B22" s="290" t="str">
        <f>IF(基本情報入力シート!B51="","",基本情報入力シート!B51)</f>
        <v>1111111118</v>
      </c>
      <c r="C22" s="291" t="str">
        <f>IF(基本情報入力シート!L51="","",基本情報入力シート!L51)</f>
        <v>奈良県</v>
      </c>
      <c r="D22" s="291" t="str">
        <f>IF(基本情報入力シート!Q51="","",基本情報入力シート!Q51)</f>
        <v>奈良県</v>
      </c>
      <c r="E22" s="291" t="str">
        <f>IF(基本情報入力シート!V51="","",基本情報入力シート!V51)</f>
        <v>奈良市</v>
      </c>
      <c r="F22" s="291" t="str">
        <f>IF(基本情報入力シート!W51="","",基本情報入力シート!W51)</f>
        <v>○○リハ</v>
      </c>
      <c r="G22" s="291" t="str">
        <f>IF(基本情報入力シート!X51="","",基本情報入力シート!X51)</f>
        <v>介護予防通所リハビリテーション</v>
      </c>
      <c r="H22" s="284" t="str">
        <f>IF(基本情報入力シート!Z51="","",基本情報入力シート!Z51)</f>
        <v>66</v>
      </c>
      <c r="I22" s="285" t="str">
        <f>IF(基本情報入力シート!AE51&lt;&gt;"", 基本情報入力シート!AE51, "")</f>
        <v>○</v>
      </c>
      <c r="J22" s="54">
        <f>IF(基本情報入力シート!AA51="","",基本情報入力シート!AA51)</f>
        <v>1000000</v>
      </c>
      <c r="K22" s="57">
        <f>IF(基本情報入力シート!AD51="","",基本情報入力シート!AD51)</f>
        <v>10.33</v>
      </c>
      <c r="L22" s="56">
        <f>IF(G22="","",VLOOKUP(G22,【参考】数式用!$A$3:$C$46,3,FALSE))</f>
        <v>5.5E-2</v>
      </c>
      <c r="M22" s="292">
        <f t="shared" si="0"/>
        <v>568150</v>
      </c>
      <c r="N22" s="259" t="s">
        <v>2653</v>
      </c>
      <c r="O22" s="260"/>
      <c r="P22" s="260"/>
      <c r="Q22" s="213"/>
      <c r="R22" s="59"/>
      <c r="S22" s="1124" t="str">
        <f t="shared" si="1"/>
        <v/>
      </c>
      <c r="T22" s="1124"/>
      <c r="U22" s="1124"/>
      <c r="V22" s="1124"/>
      <c r="W22" s="1124"/>
      <c r="X22" s="1124"/>
      <c r="Y22" s="1124"/>
      <c r="Z22" s="1124"/>
      <c r="AA22" s="1124"/>
      <c r="AB22" s="1124"/>
      <c r="AC22" s="1124"/>
      <c r="AE22" s="618" t="str">
        <f t="shared" si="2"/>
        <v>色付け</v>
      </c>
      <c r="AF22" s="300" t="str">
        <f t="shared" si="3"/>
        <v>○</v>
      </c>
      <c r="AG22" s="287" t="e">
        <f>D22&amp;I22&amp;#REF!</f>
        <v>#REF!</v>
      </c>
      <c r="AH22" s="288" t="e">
        <f>IF(#REF!="○", F22, "")</f>
        <v>#REF!</v>
      </c>
    </row>
    <row r="23" spans="1:34" ht="36.75" customHeight="1">
      <c r="A23" s="289">
        <f t="shared" si="4"/>
        <v>13</v>
      </c>
      <c r="B23" s="290" t="str">
        <f>IF(基本情報入力シート!B52="","",基本情報入力シート!B52)</f>
        <v>1111111119</v>
      </c>
      <c r="C23" s="291" t="str">
        <f>IF(基本情報入力シート!L52="","",基本情報入力シート!L52)</f>
        <v>奈良県</v>
      </c>
      <c r="D23" s="291" t="str">
        <f>IF(基本情報入力シート!Q52="","",基本情報入力シート!Q52)</f>
        <v>奈良県</v>
      </c>
      <c r="E23" s="291" t="str">
        <f>IF(基本情報入力シート!V52="","",基本情報入力シート!V52)</f>
        <v>奈良市</v>
      </c>
      <c r="F23" s="291" t="str">
        <f>IF(基本情報入力シート!W52="","",基本情報入力シート!W52)</f>
        <v>○○の杜</v>
      </c>
      <c r="G23" s="291" t="str">
        <f>IF(基本情報入力シート!X52="","",基本情報入力シート!X52)</f>
        <v>特定施設入居者生活介護</v>
      </c>
      <c r="H23" s="284" t="str">
        <f>IF(基本情報入力シート!Z52="","",基本情報入力シート!Z52)</f>
        <v>33</v>
      </c>
      <c r="I23" s="285" t="str">
        <f>IF(基本情報入力シート!AE52&lt;&gt;"", 基本情報入力シート!AE52, "")</f>
        <v>○</v>
      </c>
      <c r="J23" s="54">
        <f>IF(基本情報入力シート!AA52="","",基本情報入力シート!AA52)</f>
        <v>1000000</v>
      </c>
      <c r="K23" s="57">
        <f>IF(基本情報入力シート!AD52="","",基本情報入力シート!AD52)</f>
        <v>10.27</v>
      </c>
      <c r="L23" s="56">
        <f>IF(G23="","",VLOOKUP(G23,【参考】数式用!$A$3:$C$46,3,FALSE))</f>
        <v>7.3999999999999996E-2</v>
      </c>
      <c r="M23" s="292">
        <f t="shared" si="0"/>
        <v>759980</v>
      </c>
      <c r="N23" s="259" t="s">
        <v>2653</v>
      </c>
      <c r="O23" s="260"/>
      <c r="P23" s="260"/>
      <c r="Q23" s="213"/>
      <c r="R23" s="59"/>
      <c r="S23" s="1124" t="str">
        <f t="shared" si="1"/>
        <v/>
      </c>
      <c r="T23" s="1124"/>
      <c r="U23" s="1124"/>
      <c r="V23" s="1124"/>
      <c r="W23" s="1124"/>
      <c r="X23" s="1124"/>
      <c r="Y23" s="1124"/>
      <c r="Z23" s="1124"/>
      <c r="AA23" s="1124"/>
      <c r="AB23" s="1124"/>
      <c r="AC23" s="1124"/>
      <c r="AE23" s="618" t="str">
        <f t="shared" si="2"/>
        <v>色付け</v>
      </c>
      <c r="AF23" s="300" t="str">
        <f t="shared" si="3"/>
        <v>○</v>
      </c>
      <c r="AG23" s="287" t="e">
        <f>D23&amp;I23&amp;#REF!</f>
        <v>#REF!</v>
      </c>
      <c r="AH23" s="288" t="e">
        <f>IF(#REF!="○", F23, "")</f>
        <v>#REF!</v>
      </c>
    </row>
    <row r="24" spans="1:34" ht="36.75" customHeight="1">
      <c r="A24" s="289">
        <f t="shared" si="4"/>
        <v>14</v>
      </c>
      <c r="B24" s="290" t="str">
        <f>IF(基本情報入力シート!B53="","",基本情報入力シート!B53)</f>
        <v>1111111120</v>
      </c>
      <c r="C24" s="291" t="str">
        <f>IF(基本情報入力シート!L53="","",基本情報入力シート!L53)</f>
        <v>奈良県</v>
      </c>
      <c r="D24" s="291" t="str">
        <f>IF(基本情報入力シート!Q53="","",基本情報入力シート!Q53)</f>
        <v>奈良県</v>
      </c>
      <c r="E24" s="291" t="str">
        <f>IF(基本情報入力シート!V53="","",基本情報入力シート!V53)</f>
        <v>奈良市</v>
      </c>
      <c r="F24" s="291" t="str">
        <f>IF(基本情報入力シート!W53="","",基本情報入力シート!W53)</f>
        <v>○○の杜</v>
      </c>
      <c r="G24" s="291" t="str">
        <f>IF(基本情報入力シート!X53="","",基本情報入力シート!X53)</f>
        <v>特定施設入居者生活介護（短期利用型）</v>
      </c>
      <c r="H24" s="284" t="str">
        <f>IF(基本情報入力シート!Z53="","",基本情報入力シート!Z53)</f>
        <v>27</v>
      </c>
      <c r="I24" s="285" t="str">
        <f>IF(基本情報入力シート!AE53&lt;&gt;"", 基本情報入力シート!AE53, "")</f>
        <v>○</v>
      </c>
      <c r="J24" s="54">
        <f>IF(基本情報入力シート!AA53="","",基本情報入力シート!AA53)</f>
        <v>1000000</v>
      </c>
      <c r="K24" s="57">
        <f>IF(基本情報入力シート!AD53="","",基本情報入力シート!AD53)</f>
        <v>10.27</v>
      </c>
      <c r="L24" s="56">
        <f>IF(G24="","",VLOOKUP(G24,【参考】数式用!$A$3:$C$46,3,FALSE))</f>
        <v>7.3999999999999996E-2</v>
      </c>
      <c r="M24" s="292">
        <f t="shared" si="0"/>
        <v>759980</v>
      </c>
      <c r="N24" s="259" t="s">
        <v>2653</v>
      </c>
      <c r="O24" s="260"/>
      <c r="P24" s="260"/>
      <c r="Q24" s="213"/>
      <c r="R24" s="59"/>
      <c r="S24" s="1124" t="str">
        <f t="shared" si="1"/>
        <v/>
      </c>
      <c r="T24" s="1124"/>
      <c r="U24" s="1124"/>
      <c r="V24" s="1124"/>
      <c r="W24" s="1124"/>
      <c r="X24" s="1124"/>
      <c r="Y24" s="1124"/>
      <c r="Z24" s="1124"/>
      <c r="AA24" s="1124"/>
      <c r="AB24" s="1124"/>
      <c r="AC24" s="1124"/>
      <c r="AE24" s="618" t="str">
        <f t="shared" si="2"/>
        <v>色付け</v>
      </c>
      <c r="AF24" s="300" t="str">
        <f t="shared" si="3"/>
        <v>○</v>
      </c>
      <c r="AG24" s="287" t="e">
        <f>D24&amp;I24&amp;#REF!</f>
        <v>#REF!</v>
      </c>
      <c r="AH24" s="288" t="e">
        <f>IF(#REF!="○", F24, "")</f>
        <v>#REF!</v>
      </c>
    </row>
    <row r="25" spans="1:34" ht="36.75" customHeight="1">
      <c r="A25" s="289">
        <f t="shared" si="4"/>
        <v>15</v>
      </c>
      <c r="B25" s="290" t="str">
        <f>IF(基本情報入力シート!B54="","",基本情報入力シート!B54)</f>
        <v>1111111121</v>
      </c>
      <c r="C25" s="291" t="str">
        <f>IF(基本情報入力シート!L54="","",基本情報入力シート!L54)</f>
        <v>奈良県</v>
      </c>
      <c r="D25" s="291" t="str">
        <f>IF(基本情報入力シート!Q54="","",基本情報入力シート!Q54)</f>
        <v>奈良県</v>
      </c>
      <c r="E25" s="291" t="str">
        <f>IF(基本情報入力シート!V54="","",基本情報入力シート!V54)</f>
        <v>奈良市</v>
      </c>
      <c r="F25" s="291" t="str">
        <f>IF(基本情報入力シート!W54="","",基本情報入力シート!W54)</f>
        <v>○○の杜</v>
      </c>
      <c r="G25" s="291" t="str">
        <f>IF(基本情報入力シート!X54="","",基本情報入力シート!X54)</f>
        <v>介護予防特定施設入居者生活介護</v>
      </c>
      <c r="H25" s="284" t="str">
        <f>IF(基本情報入力シート!Z54="","",基本情報入力シート!Z54)</f>
        <v>35</v>
      </c>
      <c r="I25" s="285" t="str">
        <f>IF(基本情報入力シート!AE54&lt;&gt;"", 基本情報入力シート!AE54, "")</f>
        <v>○</v>
      </c>
      <c r="J25" s="54">
        <f>IF(基本情報入力シート!AA54="","",基本情報入力シート!AA54)</f>
        <v>1000000</v>
      </c>
      <c r="K25" s="57">
        <f>IF(基本情報入力シート!AD54="","",基本情報入力シート!AD54)</f>
        <v>10.27</v>
      </c>
      <c r="L25" s="56">
        <f>IF(G25="","",VLOOKUP(G25,【参考】数式用!$A$3:$C$46,3,FALSE))</f>
        <v>7.3999999999999996E-2</v>
      </c>
      <c r="M25" s="292">
        <f t="shared" si="0"/>
        <v>759980</v>
      </c>
      <c r="N25" s="259" t="s">
        <v>2653</v>
      </c>
      <c r="O25" s="260"/>
      <c r="P25" s="260"/>
      <c r="Q25" s="213"/>
      <c r="R25" s="59"/>
      <c r="S25" s="1124" t="str">
        <f t="shared" si="1"/>
        <v/>
      </c>
      <c r="T25" s="1124"/>
      <c r="U25" s="1124"/>
      <c r="V25" s="1124"/>
      <c r="W25" s="1124"/>
      <c r="X25" s="1124"/>
      <c r="Y25" s="1124"/>
      <c r="Z25" s="1124"/>
      <c r="AA25" s="1124"/>
      <c r="AB25" s="1124"/>
      <c r="AC25" s="1124"/>
      <c r="AE25" s="618" t="str">
        <f t="shared" si="2"/>
        <v>色付け</v>
      </c>
      <c r="AF25" s="300" t="str">
        <f t="shared" si="3"/>
        <v>○</v>
      </c>
      <c r="AG25" s="287" t="e">
        <f>D25&amp;I25&amp;#REF!</f>
        <v>#REF!</v>
      </c>
      <c r="AH25" s="288" t="e">
        <f>IF(#REF!="○", F25, "")</f>
        <v>#REF!</v>
      </c>
    </row>
    <row r="26" spans="1:34" ht="36.75" customHeight="1">
      <c r="A26" s="289">
        <f t="shared" si="4"/>
        <v>16</v>
      </c>
      <c r="B26" s="290" t="str">
        <f>IF(基本情報入力シート!B55="","",基本情報入力シート!B55)</f>
        <v>1111111122</v>
      </c>
      <c r="C26" s="291" t="str">
        <f>IF(基本情報入力シート!L55="","",基本情報入力シート!L55)</f>
        <v>橿原市</v>
      </c>
      <c r="D26" s="291" t="str">
        <f>IF(基本情報入力シート!Q55="","",基本情報入力シート!Q55)</f>
        <v>奈良県</v>
      </c>
      <c r="E26" s="291" t="str">
        <f>IF(基本情報入力シート!V55="","",基本情報入力シート!V55)</f>
        <v>橿原市</v>
      </c>
      <c r="F26" s="291" t="str">
        <f>IF(基本情報入力シート!W55="","",基本情報入力シート!W55)</f>
        <v>○○の杜</v>
      </c>
      <c r="G26" s="291" t="str">
        <f>IF(基本情報入力シート!X55="","",基本情報入力シート!X55)</f>
        <v>地域密着型特定施設入居者生活介護</v>
      </c>
      <c r="H26" s="284" t="str">
        <f>IF(基本情報入力シート!Z55="","",基本情報入力シート!Z55)</f>
        <v>36</v>
      </c>
      <c r="I26" s="285" t="str">
        <f>IF(基本情報入力シート!AE55&lt;&gt;"", 基本情報入力シート!AE55, "")</f>
        <v>○</v>
      </c>
      <c r="J26" s="54">
        <f>IF(基本情報入力シート!AA55="","",基本情報入力シート!AA55)</f>
        <v>1000000</v>
      </c>
      <c r="K26" s="57">
        <f>IF(基本情報入力シート!AD55="","",基本情報入力シート!AD55)</f>
        <v>10.14</v>
      </c>
      <c r="L26" s="56">
        <f>IF(G26="","",VLOOKUP(G26,【参考】数式用!$A$3:$C$46,3,FALSE))</f>
        <v>7.3999999999999996E-2</v>
      </c>
      <c r="M26" s="292">
        <f t="shared" si="0"/>
        <v>750360</v>
      </c>
      <c r="N26" s="259" t="s">
        <v>2653</v>
      </c>
      <c r="O26" s="260"/>
      <c r="P26" s="260"/>
      <c r="Q26" s="213"/>
      <c r="R26" s="59"/>
      <c r="S26" s="1124" t="str">
        <f t="shared" si="1"/>
        <v/>
      </c>
      <c r="T26" s="1124"/>
      <c r="U26" s="1124"/>
      <c r="V26" s="1124"/>
      <c r="W26" s="1124"/>
      <c r="X26" s="1124"/>
      <c r="Y26" s="1124"/>
      <c r="Z26" s="1124"/>
      <c r="AA26" s="1124"/>
      <c r="AB26" s="1124"/>
      <c r="AC26" s="1124"/>
      <c r="AE26" s="618" t="str">
        <f t="shared" si="2"/>
        <v>色付け</v>
      </c>
      <c r="AF26" s="300" t="str">
        <f t="shared" si="3"/>
        <v>○</v>
      </c>
      <c r="AG26" s="287" t="e">
        <f>D26&amp;I26&amp;#REF!</f>
        <v>#REF!</v>
      </c>
      <c r="AH26" s="288" t="e">
        <f>IF(#REF!="○", F26, "")</f>
        <v>#REF!</v>
      </c>
    </row>
    <row r="27" spans="1:34" ht="36.75" customHeight="1">
      <c r="A27" s="289">
        <f t="shared" si="4"/>
        <v>17</v>
      </c>
      <c r="B27" s="290" t="str">
        <f>IF(基本情報入力シート!B56="","",基本情報入力シート!B56)</f>
        <v>1111111123</v>
      </c>
      <c r="C27" s="291" t="str">
        <f>IF(基本情報入力シート!L56="","",基本情報入力シート!L56)</f>
        <v>橿原市</v>
      </c>
      <c r="D27" s="291" t="str">
        <f>IF(基本情報入力シート!Q56="","",基本情報入力シート!Q56)</f>
        <v>奈良県</v>
      </c>
      <c r="E27" s="291" t="str">
        <f>IF(基本情報入力シート!V56="","",基本情報入力シート!V56)</f>
        <v>橿原市</v>
      </c>
      <c r="F27" s="291" t="str">
        <f>IF(基本情報入力シート!W56="","",基本情報入力シート!W56)</f>
        <v>○○の杜</v>
      </c>
      <c r="G27" s="291" t="str">
        <f>IF(基本情報入力シート!X56="","",基本情報入力シート!X56)</f>
        <v>地域密着型特定施設入居者生活介護（短期利用型）</v>
      </c>
      <c r="H27" s="284" t="str">
        <f>IF(基本情報入力シート!Z56="","",基本情報入力シート!Z56)</f>
        <v>28</v>
      </c>
      <c r="I27" s="285" t="str">
        <f>IF(基本情報入力シート!AE56&lt;&gt;"", 基本情報入力シート!AE56, "")</f>
        <v>○</v>
      </c>
      <c r="J27" s="54">
        <f>IF(基本情報入力シート!AA56="","",基本情報入力シート!AA56)</f>
        <v>1000000</v>
      </c>
      <c r="K27" s="57">
        <f>IF(基本情報入力シート!AD56="","",基本情報入力シート!AD56)</f>
        <v>10.14</v>
      </c>
      <c r="L27" s="56">
        <f>IF(G27="","",VLOOKUP(G27,【参考】数式用!$A$3:$C$46,3,FALSE))</f>
        <v>7.3999999999999996E-2</v>
      </c>
      <c r="M27" s="292">
        <f t="shared" si="0"/>
        <v>750360</v>
      </c>
      <c r="N27" s="259" t="s">
        <v>2653</v>
      </c>
      <c r="O27" s="260"/>
      <c r="P27" s="260"/>
      <c r="Q27" s="213"/>
      <c r="R27" s="59"/>
      <c r="S27" s="1124" t="str">
        <f t="shared" si="1"/>
        <v/>
      </c>
      <c r="T27" s="1124"/>
      <c r="U27" s="1124"/>
      <c r="V27" s="1124"/>
      <c r="W27" s="1124"/>
      <c r="X27" s="1124"/>
      <c r="Y27" s="1124"/>
      <c r="Z27" s="1124"/>
      <c r="AA27" s="1124"/>
      <c r="AB27" s="1124"/>
      <c r="AC27" s="1124"/>
      <c r="AE27" s="618" t="str">
        <f t="shared" si="2"/>
        <v>色付け</v>
      </c>
      <c r="AF27" s="300" t="str">
        <f t="shared" si="3"/>
        <v>○</v>
      </c>
      <c r="AG27" s="287" t="e">
        <f>D27&amp;I27&amp;#REF!</f>
        <v>#REF!</v>
      </c>
      <c r="AH27" s="288" t="e">
        <f>IF(#REF!="○", F27, "")</f>
        <v>#REF!</v>
      </c>
    </row>
    <row r="28" spans="1:34" ht="36.75" customHeight="1">
      <c r="A28" s="289">
        <f t="shared" si="4"/>
        <v>18</v>
      </c>
      <c r="B28" s="290" t="str">
        <f>IF(基本情報入力シート!B57="","",基本情報入力シート!B57)</f>
        <v>1111111124</v>
      </c>
      <c r="C28" s="291" t="str">
        <f>IF(基本情報入力シート!L57="","",基本情報入力シート!L57)</f>
        <v>桜井市</v>
      </c>
      <c r="D28" s="291" t="str">
        <f>IF(基本情報入力シート!Q57="","",基本情報入力シート!Q57)</f>
        <v>奈良県</v>
      </c>
      <c r="E28" s="291" t="str">
        <f>IF(基本情報入力シート!V57="","",基本情報入力シート!V57)</f>
        <v>桜井市</v>
      </c>
      <c r="F28" s="291" t="str">
        <f>IF(基本情報入力シート!W57="","",基本情報入力シート!W57)</f>
        <v>○○デイケア</v>
      </c>
      <c r="G28" s="291" t="str">
        <f>IF(基本情報入力シート!X57="","",基本情報入力シート!X57)</f>
        <v>認知症対応型通所介護</v>
      </c>
      <c r="H28" s="284" t="str">
        <f>IF(基本情報入力シート!Z57="","",基本情報入力シート!Z57)</f>
        <v>72</v>
      </c>
      <c r="I28" s="285" t="str">
        <f>IF(基本情報入力シート!AE57&lt;&gt;"", 基本情報入力シート!AE57, "")</f>
        <v>○</v>
      </c>
      <c r="J28" s="54">
        <f>IF(基本情報入力シート!AA57="","",基本情報入力シート!AA57)</f>
        <v>1000000</v>
      </c>
      <c r="K28" s="57">
        <f>IF(基本情報入力シート!AD57="","",基本情報入力シート!AD57)</f>
        <v>10.17</v>
      </c>
      <c r="L28" s="56">
        <f>IF(G28="","",VLOOKUP(G28,【参考】数式用!$A$3:$C$46,3,FALSE))</f>
        <v>0.13200000000000001</v>
      </c>
      <c r="M28" s="292">
        <f t="shared" si="0"/>
        <v>1342440</v>
      </c>
      <c r="N28" s="259" t="s">
        <v>2653</v>
      </c>
      <c r="O28" s="260"/>
      <c r="P28" s="260"/>
      <c r="Q28" s="213"/>
      <c r="R28" s="59"/>
      <c r="S28" s="1124" t="str">
        <f t="shared" si="1"/>
        <v/>
      </c>
      <c r="T28" s="1124"/>
      <c r="U28" s="1124"/>
      <c r="V28" s="1124"/>
      <c r="W28" s="1124"/>
      <c r="X28" s="1124"/>
      <c r="Y28" s="1124"/>
      <c r="Z28" s="1124"/>
      <c r="AA28" s="1124"/>
      <c r="AB28" s="1124"/>
      <c r="AC28" s="1124"/>
      <c r="AE28" s="618" t="str">
        <f t="shared" si="2"/>
        <v>色付け</v>
      </c>
      <c r="AF28" s="300" t="str">
        <f t="shared" si="3"/>
        <v>○</v>
      </c>
      <c r="AG28" s="287" t="e">
        <f>D28&amp;I28&amp;#REF!</f>
        <v>#REF!</v>
      </c>
      <c r="AH28" s="288" t="e">
        <f>IF(#REF!="○", F28, "")</f>
        <v>#REF!</v>
      </c>
    </row>
    <row r="29" spans="1:34" ht="36.75" customHeight="1">
      <c r="A29" s="289">
        <f t="shared" si="4"/>
        <v>19</v>
      </c>
      <c r="B29" s="290" t="str">
        <f>IF(基本情報入力シート!B58="","",基本情報入力シート!B58)</f>
        <v>1111111125</v>
      </c>
      <c r="C29" s="291" t="str">
        <f>IF(基本情報入力シート!L58="","",基本情報入力シート!L58)</f>
        <v>桜井市</v>
      </c>
      <c r="D29" s="291" t="str">
        <f>IF(基本情報入力シート!Q58="","",基本情報入力シート!Q58)</f>
        <v>奈良県</v>
      </c>
      <c r="E29" s="291" t="str">
        <f>IF(基本情報入力シート!V58="","",基本情報入力シート!V58)</f>
        <v>桜井市</v>
      </c>
      <c r="F29" s="291" t="str">
        <f>IF(基本情報入力シート!W58="","",基本情報入力シート!W58)</f>
        <v>○○デイケア</v>
      </c>
      <c r="G29" s="291" t="str">
        <f>IF(基本情報入力シート!X58="","",基本情報入力シート!X58)</f>
        <v>介護予防認知症対応型通所介護</v>
      </c>
      <c r="H29" s="284" t="str">
        <f>IF(基本情報入力シート!Z58="","",基本情報入力シート!Z58)</f>
        <v>74</v>
      </c>
      <c r="I29" s="285" t="str">
        <f>IF(基本情報入力シート!AE58&lt;&gt;"", 基本情報入力シート!AE58, "")</f>
        <v>○</v>
      </c>
      <c r="J29" s="54">
        <f>IF(基本情報入力シート!AA58="","",基本情報入力シート!AA58)</f>
        <v>1000000</v>
      </c>
      <c r="K29" s="57">
        <f>IF(基本情報入力シート!AD58="","",基本情報入力シート!AD58)</f>
        <v>10.17</v>
      </c>
      <c r="L29" s="56">
        <f>IF(G29="","",VLOOKUP(G29,【参考】数式用!$A$3:$C$46,3,FALSE))</f>
        <v>0.13200000000000001</v>
      </c>
      <c r="M29" s="292">
        <f t="shared" si="0"/>
        <v>1342440</v>
      </c>
      <c r="N29" s="259" t="s">
        <v>2653</v>
      </c>
      <c r="O29" s="260"/>
      <c r="P29" s="260"/>
      <c r="Q29" s="213"/>
      <c r="R29" s="59"/>
      <c r="S29" s="1124" t="str">
        <f t="shared" si="1"/>
        <v/>
      </c>
      <c r="T29" s="1124"/>
      <c r="U29" s="1124"/>
      <c r="V29" s="1124"/>
      <c r="W29" s="1124"/>
      <c r="X29" s="1124"/>
      <c r="Y29" s="1124"/>
      <c r="Z29" s="1124"/>
      <c r="AA29" s="1124"/>
      <c r="AB29" s="1124"/>
      <c r="AC29" s="1124"/>
      <c r="AE29" s="618" t="str">
        <f t="shared" si="2"/>
        <v>色付け</v>
      </c>
      <c r="AF29" s="300" t="str">
        <f t="shared" si="3"/>
        <v>○</v>
      </c>
      <c r="AG29" s="287" t="e">
        <f>D29&amp;I29&amp;#REF!</f>
        <v>#REF!</v>
      </c>
      <c r="AH29" s="288" t="e">
        <f>IF(#REF!="○", F29, "")</f>
        <v>#REF!</v>
      </c>
    </row>
    <row r="30" spans="1:34" ht="36.75" customHeight="1">
      <c r="A30" s="289">
        <f t="shared" si="4"/>
        <v>20</v>
      </c>
      <c r="B30" s="290" t="str">
        <f>IF(基本情報入力シート!B59="","",基本情報入力シート!B59)</f>
        <v>1111111126</v>
      </c>
      <c r="C30" s="291" t="str">
        <f>IF(基本情報入力シート!L59="","",基本情報入力シート!L59)</f>
        <v>五條市</v>
      </c>
      <c r="D30" s="291" t="str">
        <f>IF(基本情報入力シート!Q59="","",基本情報入力シート!Q59)</f>
        <v>奈良県</v>
      </c>
      <c r="E30" s="291" t="str">
        <f>IF(基本情報入力シート!V59="","",基本情報入力シート!V59)</f>
        <v>五條市</v>
      </c>
      <c r="F30" s="291" t="str">
        <f>IF(基本情報入力シート!W59="","",基本情報入力シート!W59)</f>
        <v>○○小多機</v>
      </c>
      <c r="G30" s="291" t="str">
        <f>IF(基本情報入力シート!X59="","",基本情報入力シート!X59)</f>
        <v>小規模多機能型居宅介護</v>
      </c>
      <c r="H30" s="284" t="str">
        <f>IF(基本情報入力シート!Z59="","",基本情報入力シート!Z59)</f>
        <v>73</v>
      </c>
      <c r="I30" s="285" t="str">
        <f>IF(基本情報入力シート!AE59&lt;&gt;"", 基本情報入力シート!AE59, "")</f>
        <v>○</v>
      </c>
      <c r="J30" s="54">
        <f>IF(基本情報入力シート!AA59="","",基本情報入力シート!AA59)</f>
        <v>1000000</v>
      </c>
      <c r="K30" s="57">
        <f>IF(基本情報入力シート!AD59="","",基本情報入力シート!AD59)</f>
        <v>10</v>
      </c>
      <c r="L30" s="56">
        <f>IF(G30="","",VLOOKUP(G30,【参考】数式用!$A$3:$C$46,3,FALSE))</f>
        <v>8.4000000000000005E-2</v>
      </c>
      <c r="M30" s="292">
        <f t="shared" si="0"/>
        <v>840000</v>
      </c>
      <c r="N30" s="259" t="s">
        <v>2653</v>
      </c>
      <c r="O30" s="260"/>
      <c r="P30" s="260"/>
      <c r="Q30" s="213"/>
      <c r="R30" s="59"/>
      <c r="S30" s="1124" t="str">
        <f t="shared" si="1"/>
        <v/>
      </c>
      <c r="T30" s="1124"/>
      <c r="U30" s="1124"/>
      <c r="V30" s="1124"/>
      <c r="W30" s="1124"/>
      <c r="X30" s="1124"/>
      <c r="Y30" s="1124"/>
      <c r="Z30" s="1124"/>
      <c r="AA30" s="1124"/>
      <c r="AB30" s="1124"/>
      <c r="AC30" s="1124"/>
      <c r="AE30" s="618" t="str">
        <f t="shared" si="2"/>
        <v>色付け</v>
      </c>
      <c r="AF30" s="300" t="str">
        <f t="shared" si="3"/>
        <v>○</v>
      </c>
      <c r="AG30" s="287" t="e">
        <f>D30&amp;I30&amp;#REF!</f>
        <v>#REF!</v>
      </c>
      <c r="AH30" s="288" t="e">
        <f>IF(#REF!="○", F30, "")</f>
        <v>#REF!</v>
      </c>
    </row>
    <row r="31" spans="1:34" ht="36.75" customHeight="1">
      <c r="A31" s="289">
        <f t="shared" si="4"/>
        <v>21</v>
      </c>
      <c r="B31" s="290" t="str">
        <f>IF(基本情報入力シート!B60="","",基本情報入力シート!B60)</f>
        <v>1111111127</v>
      </c>
      <c r="C31" s="291" t="str">
        <f>IF(基本情報入力シート!L60="","",基本情報入力シート!L60)</f>
        <v>五條市</v>
      </c>
      <c r="D31" s="291" t="str">
        <f>IF(基本情報入力シート!Q60="","",基本情報入力シート!Q60)</f>
        <v>奈良県</v>
      </c>
      <c r="E31" s="291" t="str">
        <f>IF(基本情報入力シート!V60="","",基本情報入力シート!V60)</f>
        <v>五條市</v>
      </c>
      <c r="F31" s="291" t="str">
        <f>IF(基本情報入力シート!W60="","",基本情報入力シート!W60)</f>
        <v>○○小多機</v>
      </c>
      <c r="G31" s="291" t="str">
        <f>IF(基本情報入力シート!X60="","",基本情報入力シート!X60)</f>
        <v>小規模多機能型居宅介護（短期利用型）</v>
      </c>
      <c r="H31" s="284" t="str">
        <f>IF(基本情報入力シート!Z60="","",基本情報入力シート!Z60)</f>
        <v>68</v>
      </c>
      <c r="I31" s="285" t="str">
        <f>IF(基本情報入力シート!AE60&lt;&gt;"", 基本情報入力シート!AE60, "")</f>
        <v>○</v>
      </c>
      <c r="J31" s="54">
        <f>IF(基本情報入力シート!AA60="","",基本情報入力シート!AA60)</f>
        <v>1000000</v>
      </c>
      <c r="K31" s="57">
        <f>IF(基本情報入力シート!AD60="","",基本情報入力シート!AD60)</f>
        <v>10</v>
      </c>
      <c r="L31" s="56">
        <f>IF(G31="","",VLOOKUP(G31,【参考】数式用!$A$3:$C$46,3,FALSE))</f>
        <v>8.4000000000000005E-2</v>
      </c>
      <c r="M31" s="292">
        <f t="shared" si="0"/>
        <v>840000</v>
      </c>
      <c r="N31" s="259" t="s">
        <v>2653</v>
      </c>
      <c r="O31" s="260"/>
      <c r="P31" s="260"/>
      <c r="Q31" s="213"/>
      <c r="R31" s="59"/>
      <c r="S31" s="1124" t="str">
        <f t="shared" si="1"/>
        <v/>
      </c>
      <c r="T31" s="1124"/>
      <c r="U31" s="1124"/>
      <c r="V31" s="1124"/>
      <c r="W31" s="1124"/>
      <c r="X31" s="1124"/>
      <c r="Y31" s="1124"/>
      <c r="Z31" s="1124"/>
      <c r="AA31" s="1124"/>
      <c r="AB31" s="1124"/>
      <c r="AC31" s="1124"/>
      <c r="AE31" s="618" t="str">
        <f t="shared" si="2"/>
        <v>色付け</v>
      </c>
      <c r="AF31" s="300" t="str">
        <f t="shared" si="3"/>
        <v>○</v>
      </c>
      <c r="AG31" s="287" t="e">
        <f>D31&amp;I31&amp;#REF!</f>
        <v>#REF!</v>
      </c>
      <c r="AH31" s="288" t="e">
        <f>IF(#REF!="○", F31, "")</f>
        <v>#REF!</v>
      </c>
    </row>
    <row r="32" spans="1:34" ht="36.75" customHeight="1">
      <c r="A32" s="289">
        <f t="shared" si="4"/>
        <v>22</v>
      </c>
      <c r="B32" s="290" t="str">
        <f>IF(基本情報入力シート!B61="","",基本情報入力シート!B61)</f>
        <v>1111111128</v>
      </c>
      <c r="C32" s="291" t="str">
        <f>IF(基本情報入力シート!L61="","",基本情報入力シート!L61)</f>
        <v>五條市</v>
      </c>
      <c r="D32" s="291" t="str">
        <f>IF(基本情報入力シート!Q61="","",基本情報入力シート!Q61)</f>
        <v>奈良県</v>
      </c>
      <c r="E32" s="291" t="str">
        <f>IF(基本情報入力シート!V61="","",基本情報入力シート!V61)</f>
        <v>五條市</v>
      </c>
      <c r="F32" s="291" t="str">
        <f>IF(基本情報入力シート!W61="","",基本情報入力シート!W61)</f>
        <v>○○小多機</v>
      </c>
      <c r="G32" s="291" t="str">
        <f>IF(基本情報入力シート!X61="","",基本情報入力シート!X61)</f>
        <v>介護予防小規模多機能型居宅介護</v>
      </c>
      <c r="H32" s="284" t="str">
        <f>IF(基本情報入力シート!Z61="","",基本情報入力シート!Z61)</f>
        <v>75</v>
      </c>
      <c r="I32" s="285" t="str">
        <f>IF(基本情報入力シート!AE61&lt;&gt;"", 基本情報入力シート!AE61, "")</f>
        <v>○</v>
      </c>
      <c r="J32" s="54">
        <f>IF(基本情報入力シート!AA61="","",基本情報入力シート!AA61)</f>
        <v>1000000</v>
      </c>
      <c r="K32" s="57">
        <f>IF(基本情報入力シート!AD61="","",基本情報入力シート!AD61)</f>
        <v>10</v>
      </c>
      <c r="L32" s="56">
        <f>IF(G32="","",VLOOKUP(G32,【参考】数式用!$A$3:$C$46,3,FALSE))</f>
        <v>8.4000000000000005E-2</v>
      </c>
      <c r="M32" s="292">
        <f t="shared" si="0"/>
        <v>840000</v>
      </c>
      <c r="N32" s="259" t="s">
        <v>2653</v>
      </c>
      <c r="O32" s="260"/>
      <c r="P32" s="260"/>
      <c r="Q32" s="213"/>
      <c r="R32" s="59"/>
      <c r="S32" s="1124" t="str">
        <f t="shared" si="1"/>
        <v/>
      </c>
      <c r="T32" s="1124"/>
      <c r="U32" s="1124"/>
      <c r="V32" s="1124"/>
      <c r="W32" s="1124"/>
      <c r="X32" s="1124"/>
      <c r="Y32" s="1124"/>
      <c r="Z32" s="1124"/>
      <c r="AA32" s="1124"/>
      <c r="AB32" s="1124"/>
      <c r="AC32" s="1124"/>
      <c r="AE32" s="618" t="str">
        <f t="shared" si="2"/>
        <v>色付け</v>
      </c>
      <c r="AF32" s="300" t="str">
        <f t="shared" si="3"/>
        <v>○</v>
      </c>
      <c r="AG32" s="287" t="e">
        <f>D32&amp;I32&amp;#REF!</f>
        <v>#REF!</v>
      </c>
      <c r="AH32" s="288" t="e">
        <f>IF(#REF!="○", F32, "")</f>
        <v>#REF!</v>
      </c>
    </row>
    <row r="33" spans="1:34" ht="36.75" customHeight="1">
      <c r="A33" s="289">
        <f t="shared" si="4"/>
        <v>23</v>
      </c>
      <c r="B33" s="290" t="str">
        <f>IF(基本情報入力シート!B62="","",基本情報入力シート!B62)</f>
        <v>1111111129</v>
      </c>
      <c r="C33" s="291" t="str">
        <f>IF(基本情報入力シート!L62="","",基本情報入力シート!L62)</f>
        <v>五條市</v>
      </c>
      <c r="D33" s="291" t="str">
        <f>IF(基本情報入力シート!Q62="","",基本情報入力シート!Q62)</f>
        <v>奈良県</v>
      </c>
      <c r="E33" s="291" t="str">
        <f>IF(基本情報入力シート!V62="","",基本情報入力シート!V62)</f>
        <v>五條市</v>
      </c>
      <c r="F33" s="291" t="str">
        <f>IF(基本情報入力シート!W62="","",基本情報入力シート!W62)</f>
        <v>○○小多機</v>
      </c>
      <c r="G33" s="291" t="str">
        <f>IF(基本情報入力シート!X62="","",基本情報入力シート!X62)</f>
        <v>介護予防小規模多機能型居宅介護（短期利用型）</v>
      </c>
      <c r="H33" s="284" t="str">
        <f>IF(基本情報入力シート!Z62="","",基本情報入力シート!Z62)</f>
        <v>69</v>
      </c>
      <c r="I33" s="285" t="str">
        <f>IF(基本情報入力シート!AE62&lt;&gt;"", 基本情報入力シート!AE62, "")</f>
        <v>○</v>
      </c>
      <c r="J33" s="54">
        <f>IF(基本情報入力シート!AA62="","",基本情報入力シート!AA62)</f>
        <v>1000000</v>
      </c>
      <c r="K33" s="57">
        <f>IF(基本情報入力シート!AD62="","",基本情報入力シート!AD62)</f>
        <v>10</v>
      </c>
      <c r="L33" s="56">
        <f>IF(G33="","",VLOOKUP(G33,【参考】数式用!$A$3:$C$46,3,FALSE))</f>
        <v>8.4000000000000005E-2</v>
      </c>
      <c r="M33" s="292">
        <f t="shared" si="0"/>
        <v>840000</v>
      </c>
      <c r="N33" s="259" t="s">
        <v>2653</v>
      </c>
      <c r="O33" s="260"/>
      <c r="P33" s="260"/>
      <c r="Q33" s="213"/>
      <c r="R33" s="59"/>
      <c r="S33" s="1124" t="str">
        <f t="shared" si="1"/>
        <v/>
      </c>
      <c r="T33" s="1124"/>
      <c r="U33" s="1124"/>
      <c r="V33" s="1124"/>
      <c r="W33" s="1124"/>
      <c r="X33" s="1124"/>
      <c r="Y33" s="1124"/>
      <c r="Z33" s="1124"/>
      <c r="AA33" s="1124"/>
      <c r="AB33" s="1124"/>
      <c r="AC33" s="1124"/>
      <c r="AE33" s="618" t="str">
        <f t="shared" si="2"/>
        <v>色付け</v>
      </c>
      <c r="AF33" s="300" t="str">
        <f t="shared" si="3"/>
        <v>○</v>
      </c>
      <c r="AG33" s="287" t="e">
        <f>D33&amp;I33&amp;#REF!</f>
        <v>#REF!</v>
      </c>
      <c r="AH33" s="288" t="e">
        <f>IF(#REF!="○", F33, "")</f>
        <v>#REF!</v>
      </c>
    </row>
    <row r="34" spans="1:34" ht="36.75" customHeight="1">
      <c r="A34" s="289">
        <f t="shared" si="4"/>
        <v>24</v>
      </c>
      <c r="B34" s="290" t="str">
        <f>IF(基本情報入力シート!B63="","",基本情報入力シート!B63)</f>
        <v>1111111130</v>
      </c>
      <c r="C34" s="291" t="str">
        <f>IF(基本情報入力シート!L63="","",基本情報入力シート!L63)</f>
        <v>御所市</v>
      </c>
      <c r="D34" s="291" t="str">
        <f>IF(基本情報入力シート!Q63="","",基本情報入力シート!Q63)</f>
        <v>奈良県</v>
      </c>
      <c r="E34" s="291" t="str">
        <f>IF(基本情報入力シート!V63="","",基本情報入力シート!V63)</f>
        <v>御所市</v>
      </c>
      <c r="F34" s="291" t="str">
        <f>IF(基本情報入力シート!W63="","",基本情報入力シート!W63)</f>
        <v>○○看多機</v>
      </c>
      <c r="G34" s="291" t="str">
        <f>IF(基本情報入力シート!X63="","",基本情報入力シート!X63)</f>
        <v>複合型サービス（看護小規模多機能型居宅介護）</v>
      </c>
      <c r="H34" s="284" t="str">
        <f>IF(基本情報入力シート!Z63="","",基本情報入力シート!Z63)</f>
        <v>77</v>
      </c>
      <c r="I34" s="285" t="str">
        <f>IF(基本情報入力シート!AE63&lt;&gt;"", 基本情報入力シート!AE63, "")</f>
        <v>○</v>
      </c>
      <c r="J34" s="54">
        <f>IF(基本情報入力シート!AA63="","",基本情報入力シート!AA63)</f>
        <v>1000000</v>
      </c>
      <c r="K34" s="57">
        <f>IF(基本情報入力シート!AD63="","",基本情報入力シート!AD63)</f>
        <v>10.17</v>
      </c>
      <c r="L34" s="56">
        <f>IF(G34="","",VLOOKUP(G34,【参考】数式用!$A$3:$C$46,3,FALSE))</f>
        <v>8.4000000000000005E-2</v>
      </c>
      <c r="M34" s="292">
        <f t="shared" si="0"/>
        <v>854280</v>
      </c>
      <c r="N34" s="259" t="s">
        <v>2653</v>
      </c>
      <c r="O34" s="260"/>
      <c r="P34" s="260"/>
      <c r="Q34" s="213"/>
      <c r="R34" s="59"/>
      <c r="S34" s="1124" t="str">
        <f t="shared" si="1"/>
        <v/>
      </c>
      <c r="T34" s="1124"/>
      <c r="U34" s="1124"/>
      <c r="V34" s="1124"/>
      <c r="W34" s="1124"/>
      <c r="X34" s="1124"/>
      <c r="Y34" s="1124"/>
      <c r="Z34" s="1124"/>
      <c r="AA34" s="1124"/>
      <c r="AB34" s="1124"/>
      <c r="AC34" s="1124"/>
      <c r="AE34" s="618" t="str">
        <f t="shared" si="2"/>
        <v>色付け</v>
      </c>
      <c r="AF34" s="300" t="str">
        <f t="shared" si="3"/>
        <v>○</v>
      </c>
      <c r="AG34" s="287" t="e">
        <f>D34&amp;I34&amp;#REF!</f>
        <v>#REF!</v>
      </c>
      <c r="AH34" s="288" t="e">
        <f>IF(#REF!="○", F34, "")</f>
        <v>#REF!</v>
      </c>
    </row>
    <row r="35" spans="1:34" ht="36.75" customHeight="1">
      <c r="A35" s="289">
        <f t="shared" si="4"/>
        <v>25</v>
      </c>
      <c r="B35" s="290" t="str">
        <f>IF(基本情報入力シート!B64="","",基本情報入力シート!B64)</f>
        <v>1111111131</v>
      </c>
      <c r="C35" s="291" t="str">
        <f>IF(基本情報入力シート!L64="","",基本情報入力シート!L64)</f>
        <v>御所市</v>
      </c>
      <c r="D35" s="291" t="str">
        <f>IF(基本情報入力シート!Q64="","",基本情報入力シート!Q64)</f>
        <v>奈良県</v>
      </c>
      <c r="E35" s="291" t="str">
        <f>IF(基本情報入力シート!V64="","",基本情報入力シート!V64)</f>
        <v>御所市</v>
      </c>
      <c r="F35" s="291" t="str">
        <f>IF(基本情報入力シート!W64="","",基本情報入力シート!W64)</f>
        <v>○○看多機</v>
      </c>
      <c r="G35" s="291" t="str">
        <f>IF(基本情報入力シート!X64="","",基本情報入力シート!X64)</f>
        <v>複合型サービス（看護小規模多機能型居宅介護・短期利用型）</v>
      </c>
      <c r="H35" s="284" t="str">
        <f>IF(基本情報入力シート!Z64="","",基本情報入力シート!Z64)</f>
        <v>79</v>
      </c>
      <c r="I35" s="285" t="str">
        <f>IF(基本情報入力シート!AE64&lt;&gt;"", 基本情報入力シート!AE64, "")</f>
        <v>○</v>
      </c>
      <c r="J35" s="54">
        <f>IF(基本情報入力シート!AA64="","",基本情報入力シート!AA64)</f>
        <v>1000000</v>
      </c>
      <c r="K35" s="57">
        <f>IF(基本情報入力シート!AD64="","",基本情報入力シート!AD64)</f>
        <v>10.17</v>
      </c>
      <c r="L35" s="56">
        <f>IF(G35="","",VLOOKUP(G35,【参考】数式用!$A$3:$C$46,3,FALSE))</f>
        <v>8.4000000000000005E-2</v>
      </c>
      <c r="M35" s="292">
        <f t="shared" si="0"/>
        <v>854280</v>
      </c>
      <c r="N35" s="259" t="s">
        <v>2653</v>
      </c>
      <c r="O35" s="260"/>
      <c r="P35" s="260"/>
      <c r="Q35" s="213"/>
      <c r="R35" s="59"/>
      <c r="S35" s="1124" t="str">
        <f t="shared" si="1"/>
        <v/>
      </c>
      <c r="T35" s="1124"/>
      <c r="U35" s="1124"/>
      <c r="V35" s="1124"/>
      <c r="W35" s="1124"/>
      <c r="X35" s="1124"/>
      <c r="Y35" s="1124"/>
      <c r="Z35" s="1124"/>
      <c r="AA35" s="1124"/>
      <c r="AB35" s="1124"/>
      <c r="AC35" s="1124"/>
      <c r="AE35" s="618" t="str">
        <f t="shared" si="2"/>
        <v>色付け</v>
      </c>
      <c r="AF35" s="300" t="str">
        <f t="shared" si="3"/>
        <v>○</v>
      </c>
      <c r="AG35" s="287" t="e">
        <f>D35&amp;I35&amp;#REF!</f>
        <v>#REF!</v>
      </c>
      <c r="AH35" s="288" t="e">
        <f>IF(#REF!="○", F35, "")</f>
        <v>#REF!</v>
      </c>
    </row>
    <row r="36" spans="1:34" ht="36.75" customHeight="1">
      <c r="A36" s="289">
        <f t="shared" si="4"/>
        <v>26</v>
      </c>
      <c r="B36" s="290" t="str">
        <f>IF(基本情報入力シート!B65="","",基本情報入力シート!B65)</f>
        <v>1111111132</v>
      </c>
      <c r="C36" s="291" t="str">
        <f>IF(基本情報入力シート!L65="","",基本情報入力シート!L65)</f>
        <v>生駒市</v>
      </c>
      <c r="D36" s="291" t="str">
        <f>IF(基本情報入力シート!Q65="","",基本情報入力シート!Q65)</f>
        <v>奈良県</v>
      </c>
      <c r="E36" s="291" t="str">
        <f>IF(基本情報入力シート!V65="","",基本情報入力シート!V65)</f>
        <v>生駒市</v>
      </c>
      <c r="F36" s="291" t="str">
        <f>IF(基本情報入力シート!W65="","",基本情報入力シート!W65)</f>
        <v>○○GH</v>
      </c>
      <c r="G36" s="291" t="str">
        <f>IF(基本情報入力シート!X65="","",基本情報入力シート!X65)</f>
        <v>認知症対応型共同生活介護</v>
      </c>
      <c r="H36" s="284" t="str">
        <f>IF(基本情報入力シート!Z65="","",基本情報入力シート!Z65)</f>
        <v>32</v>
      </c>
      <c r="I36" s="285" t="str">
        <f>IF(基本情報入力シート!AE65&lt;&gt;"", 基本情報入力シート!AE65, "")</f>
        <v>○</v>
      </c>
      <c r="J36" s="54">
        <f>IF(基本情報入力シート!AA65="","",基本情報入力シート!AA65)</f>
        <v>1000000</v>
      </c>
      <c r="K36" s="57">
        <f>IF(基本情報入力シート!AD65="","",基本情報入力シート!AD65)</f>
        <v>10.27</v>
      </c>
      <c r="L36" s="56">
        <f>IF(G36="","",VLOOKUP(G36,【参考】数式用!$A$3:$C$46,3,FALSE))</f>
        <v>0.113</v>
      </c>
      <c r="M36" s="292">
        <f t="shared" si="0"/>
        <v>1160510</v>
      </c>
      <c r="N36" s="259" t="s">
        <v>2653</v>
      </c>
      <c r="O36" s="260"/>
      <c r="P36" s="260"/>
      <c r="Q36" s="213"/>
      <c r="R36" s="59"/>
      <c r="S36" s="1124" t="str">
        <f t="shared" si="1"/>
        <v/>
      </c>
      <c r="T36" s="1124"/>
      <c r="U36" s="1124"/>
      <c r="V36" s="1124"/>
      <c r="W36" s="1124"/>
      <c r="X36" s="1124"/>
      <c r="Y36" s="1124"/>
      <c r="Z36" s="1124"/>
      <c r="AA36" s="1124"/>
      <c r="AB36" s="1124"/>
      <c r="AC36" s="1124"/>
      <c r="AE36" s="618" t="str">
        <f t="shared" si="2"/>
        <v>色付け</v>
      </c>
      <c r="AF36" s="300" t="str">
        <f t="shared" si="3"/>
        <v>○</v>
      </c>
      <c r="AG36" s="287" t="e">
        <f>D36&amp;I36&amp;#REF!</f>
        <v>#REF!</v>
      </c>
      <c r="AH36" s="288" t="e">
        <f>IF(#REF!="○", F36, "")</f>
        <v>#REF!</v>
      </c>
    </row>
    <row r="37" spans="1:34" ht="36.75" customHeight="1">
      <c r="A37" s="289">
        <f t="shared" si="4"/>
        <v>27</v>
      </c>
      <c r="B37" s="290" t="str">
        <f>IF(基本情報入力シート!B66="","",基本情報入力シート!B66)</f>
        <v>1111111133</v>
      </c>
      <c r="C37" s="291" t="str">
        <f>IF(基本情報入力シート!L66="","",基本情報入力シート!L66)</f>
        <v>生駒市</v>
      </c>
      <c r="D37" s="291" t="str">
        <f>IF(基本情報入力シート!Q66="","",基本情報入力シート!Q66)</f>
        <v>奈良県</v>
      </c>
      <c r="E37" s="291" t="str">
        <f>IF(基本情報入力シート!V66="","",基本情報入力シート!V66)</f>
        <v>生駒市</v>
      </c>
      <c r="F37" s="291" t="str">
        <f>IF(基本情報入力シート!W66="","",基本情報入力シート!W66)</f>
        <v>○○GH</v>
      </c>
      <c r="G37" s="291" t="str">
        <f>IF(基本情報入力シート!X66="","",基本情報入力シート!X66)</f>
        <v>認知症対応型共同生活介護（短期利用型）</v>
      </c>
      <c r="H37" s="284" t="str">
        <f>IF(基本情報入力シート!Z66="","",基本情報入力シート!Z66)</f>
        <v>38</v>
      </c>
      <c r="I37" s="285" t="str">
        <f>IF(基本情報入力シート!AE66&lt;&gt;"", 基本情報入力シート!AE66, "")</f>
        <v>○</v>
      </c>
      <c r="J37" s="54">
        <f>IF(基本情報入力シート!AA66="","",基本情報入力シート!AA66)</f>
        <v>1000000</v>
      </c>
      <c r="K37" s="57">
        <f>IF(基本情報入力シート!AD66="","",基本情報入力シート!AD66)</f>
        <v>10.27</v>
      </c>
      <c r="L37" s="56">
        <f>IF(G37="","",VLOOKUP(G37,【参考】数式用!$A$3:$C$46,3,FALSE))</f>
        <v>0.113</v>
      </c>
      <c r="M37" s="292">
        <f t="shared" si="0"/>
        <v>1160510</v>
      </c>
      <c r="N37" s="259" t="s">
        <v>2653</v>
      </c>
      <c r="O37" s="260"/>
      <c r="P37" s="260"/>
      <c r="Q37" s="213"/>
      <c r="R37" s="59"/>
      <c r="S37" s="1124" t="str">
        <f t="shared" si="1"/>
        <v/>
      </c>
      <c r="T37" s="1124"/>
      <c r="U37" s="1124"/>
      <c r="V37" s="1124"/>
      <c r="W37" s="1124"/>
      <c r="X37" s="1124"/>
      <c r="Y37" s="1124"/>
      <c r="Z37" s="1124"/>
      <c r="AA37" s="1124"/>
      <c r="AB37" s="1124"/>
      <c r="AC37" s="1124"/>
      <c r="AE37" s="618" t="str">
        <f t="shared" si="2"/>
        <v>色付け</v>
      </c>
      <c r="AF37" s="300" t="str">
        <f t="shared" si="3"/>
        <v>○</v>
      </c>
      <c r="AG37" s="287" t="e">
        <f>D37&amp;I37&amp;#REF!</f>
        <v>#REF!</v>
      </c>
      <c r="AH37" s="288" t="e">
        <f>IF(#REF!="○", F37, "")</f>
        <v>#REF!</v>
      </c>
    </row>
    <row r="38" spans="1:34" ht="36.75" customHeight="1">
      <c r="A38" s="289">
        <f t="shared" si="4"/>
        <v>28</v>
      </c>
      <c r="B38" s="290" t="str">
        <f>IF(基本情報入力シート!B67="","",基本情報入力シート!B67)</f>
        <v>1111111134</v>
      </c>
      <c r="C38" s="291" t="str">
        <f>IF(基本情報入力シート!L67="","",基本情報入力シート!L67)</f>
        <v>生駒市</v>
      </c>
      <c r="D38" s="291" t="str">
        <f>IF(基本情報入力シート!Q67="","",基本情報入力シート!Q67)</f>
        <v>奈良県</v>
      </c>
      <c r="E38" s="291" t="str">
        <f>IF(基本情報入力シート!V67="","",基本情報入力シート!V67)</f>
        <v>生駒市</v>
      </c>
      <c r="F38" s="291" t="str">
        <f>IF(基本情報入力シート!W67="","",基本情報入力シート!W67)</f>
        <v>○○GH</v>
      </c>
      <c r="G38" s="291" t="str">
        <f>IF(基本情報入力シート!X67="","",基本情報入力シート!X67)</f>
        <v>介護予防認知症対応型共同生活介護</v>
      </c>
      <c r="H38" s="284" t="str">
        <f>IF(基本情報入力シート!Z67="","",基本情報入力シート!Z67)</f>
        <v>37</v>
      </c>
      <c r="I38" s="285" t="str">
        <f>IF(基本情報入力シート!AE67&lt;&gt;"", 基本情報入力シート!AE67, "")</f>
        <v>○</v>
      </c>
      <c r="J38" s="54">
        <f>IF(基本情報入力シート!AA67="","",基本情報入力シート!AA67)</f>
        <v>1000000</v>
      </c>
      <c r="K38" s="57">
        <f>IF(基本情報入力シート!AD67="","",基本情報入力シート!AD67)</f>
        <v>10.27</v>
      </c>
      <c r="L38" s="56">
        <f>IF(G38="","",VLOOKUP(G38,【参考】数式用!$A$3:$C$46,3,FALSE))</f>
        <v>0.113</v>
      </c>
      <c r="M38" s="292">
        <f t="shared" si="0"/>
        <v>1160510</v>
      </c>
      <c r="N38" s="259" t="s">
        <v>2653</v>
      </c>
      <c r="O38" s="260"/>
      <c r="P38" s="260"/>
      <c r="Q38" s="213"/>
      <c r="R38" s="59"/>
      <c r="S38" s="1124" t="str">
        <f t="shared" si="1"/>
        <v/>
      </c>
      <c r="T38" s="1124"/>
      <c r="U38" s="1124"/>
      <c r="V38" s="1124"/>
      <c r="W38" s="1124"/>
      <c r="X38" s="1124"/>
      <c r="Y38" s="1124"/>
      <c r="Z38" s="1124"/>
      <c r="AA38" s="1124"/>
      <c r="AB38" s="1124"/>
      <c r="AC38" s="1124"/>
      <c r="AE38" s="618" t="str">
        <f t="shared" si="2"/>
        <v>色付け</v>
      </c>
      <c r="AF38" s="300" t="str">
        <f t="shared" si="3"/>
        <v>○</v>
      </c>
      <c r="AG38" s="287" t="e">
        <f>D38&amp;I38&amp;#REF!</f>
        <v>#REF!</v>
      </c>
      <c r="AH38" s="288" t="e">
        <f>IF(#REF!="○", F38, "")</f>
        <v>#REF!</v>
      </c>
    </row>
    <row r="39" spans="1:34" ht="36.75" customHeight="1">
      <c r="A39" s="289">
        <f t="shared" si="4"/>
        <v>29</v>
      </c>
      <c r="B39" s="290" t="str">
        <f>IF(基本情報入力シート!B68="","",基本情報入力シート!B68)</f>
        <v>1111111135</v>
      </c>
      <c r="C39" s="291" t="str">
        <f>IF(基本情報入力シート!L68="","",基本情報入力シート!L68)</f>
        <v>生駒市</v>
      </c>
      <c r="D39" s="291" t="str">
        <f>IF(基本情報入力シート!Q68="","",基本情報入力シート!Q68)</f>
        <v>奈良県</v>
      </c>
      <c r="E39" s="291" t="str">
        <f>IF(基本情報入力シート!V68="","",基本情報入力シート!V68)</f>
        <v>生駒市</v>
      </c>
      <c r="F39" s="291" t="str">
        <f>IF(基本情報入力シート!W68="","",基本情報入力シート!W68)</f>
        <v>○○GH</v>
      </c>
      <c r="G39" s="291" t="str">
        <f>IF(基本情報入力シート!X68="","",基本情報入力シート!X68)</f>
        <v>介護予防認知症対応型共同生活介護（短期利用型）</v>
      </c>
      <c r="H39" s="284" t="str">
        <f>IF(基本情報入力シート!Z68="","",基本情報入力シート!Z68)</f>
        <v>39</v>
      </c>
      <c r="I39" s="285" t="str">
        <f>IF(基本情報入力シート!AE68&lt;&gt;"", 基本情報入力シート!AE68, "")</f>
        <v>○</v>
      </c>
      <c r="J39" s="54">
        <f>IF(基本情報入力シート!AA68="","",基本情報入力シート!AA68)</f>
        <v>1000000</v>
      </c>
      <c r="K39" s="57">
        <f>IF(基本情報入力シート!AD68="","",基本情報入力シート!AD68)</f>
        <v>10.27</v>
      </c>
      <c r="L39" s="56">
        <f>IF(G39="","",VLOOKUP(G39,【参考】数式用!$A$3:$C$46,3,FALSE))</f>
        <v>0.113</v>
      </c>
      <c r="M39" s="292">
        <f t="shared" si="0"/>
        <v>1160510</v>
      </c>
      <c r="N39" s="259" t="s">
        <v>2653</v>
      </c>
      <c r="O39" s="260"/>
      <c r="P39" s="260"/>
      <c r="Q39" s="213"/>
      <c r="R39" s="59"/>
      <c r="S39" s="1124" t="str">
        <f t="shared" si="1"/>
        <v/>
      </c>
      <c r="T39" s="1124"/>
      <c r="U39" s="1124"/>
      <c r="V39" s="1124"/>
      <c r="W39" s="1124"/>
      <c r="X39" s="1124"/>
      <c r="Y39" s="1124"/>
      <c r="Z39" s="1124"/>
      <c r="AA39" s="1124"/>
      <c r="AB39" s="1124"/>
      <c r="AC39" s="1124"/>
      <c r="AE39" s="618" t="str">
        <f t="shared" si="2"/>
        <v>色付け</v>
      </c>
      <c r="AF39" s="300" t="str">
        <f t="shared" si="3"/>
        <v>○</v>
      </c>
      <c r="AG39" s="287" t="e">
        <f>D39&amp;I39&amp;#REF!</f>
        <v>#REF!</v>
      </c>
      <c r="AH39" s="288" t="e">
        <f>IF(#REF!="○", F39, "")</f>
        <v>#REF!</v>
      </c>
    </row>
    <row r="40" spans="1:34" ht="36.75" customHeight="1">
      <c r="A40" s="289">
        <f t="shared" si="4"/>
        <v>30</v>
      </c>
      <c r="B40" s="290" t="str">
        <f>IF(基本情報入力シート!B69="","",基本情報入力シート!B69)</f>
        <v>1111111136</v>
      </c>
      <c r="C40" s="291" t="str">
        <f>IF(基本情報入力シート!L69="","",基本情報入力シート!L69)</f>
        <v>奈良県</v>
      </c>
      <c r="D40" s="291" t="str">
        <f>IF(基本情報入力シート!Q69="","",基本情報入力シート!Q69)</f>
        <v>奈良県</v>
      </c>
      <c r="E40" s="291" t="str">
        <f>IF(基本情報入力シート!V69="","",基本情報入力シート!V69)</f>
        <v>奈良市</v>
      </c>
      <c r="F40" s="291" t="str">
        <f>IF(基本情報入力シート!W69="","",基本情報入力シート!W69)</f>
        <v>○○施設</v>
      </c>
      <c r="G40" s="291" t="str">
        <f>IF(基本情報入力シート!X69="","",基本情報入力シート!X69)</f>
        <v>介護老人福祉施設サービス</v>
      </c>
      <c r="H40" s="284" t="str">
        <f>IF(基本情報入力シート!Z69="","",基本情報入力シート!Z69)</f>
        <v>51</v>
      </c>
      <c r="I40" s="285" t="str">
        <f>IF(基本情報入力シート!AE69&lt;&gt;"", 基本情報入力シート!AE69, "")</f>
        <v>○</v>
      </c>
      <c r="J40" s="54">
        <f>IF(基本情報入力シート!AA69="","",基本情報入力シート!AA69)</f>
        <v>1000000</v>
      </c>
      <c r="K40" s="57">
        <f>IF(基本情報入力シート!AD69="","",基本情報入力シート!AD69)</f>
        <v>10.27</v>
      </c>
      <c r="L40" s="56">
        <f>IF(G40="","",VLOOKUP(G40,【参考】数式用!$A$3:$C$46,3,FALSE))</f>
        <v>8.3000000000000004E-2</v>
      </c>
      <c r="M40" s="292">
        <f t="shared" si="0"/>
        <v>852410</v>
      </c>
      <c r="N40" s="259" t="s">
        <v>2653</v>
      </c>
      <c r="O40" s="260"/>
      <c r="P40" s="260"/>
      <c r="Q40" s="213"/>
      <c r="R40" s="59"/>
      <c r="S40" s="1124" t="str">
        <f t="shared" si="1"/>
        <v/>
      </c>
      <c r="T40" s="1124"/>
      <c r="U40" s="1124"/>
      <c r="V40" s="1124"/>
      <c r="W40" s="1124"/>
      <c r="X40" s="1124"/>
      <c r="Y40" s="1124"/>
      <c r="Z40" s="1124"/>
      <c r="AA40" s="1124"/>
      <c r="AB40" s="1124"/>
      <c r="AC40" s="1124"/>
      <c r="AE40" s="618" t="str">
        <f t="shared" si="2"/>
        <v>色付け</v>
      </c>
      <c r="AF40" s="300" t="str">
        <f t="shared" si="3"/>
        <v>○</v>
      </c>
      <c r="AG40" s="287" t="e">
        <f>D40&amp;I40&amp;#REF!</f>
        <v>#REF!</v>
      </c>
      <c r="AH40" s="288" t="e">
        <f>IF(#REF!="○", F40, "")</f>
        <v>#REF!</v>
      </c>
    </row>
    <row r="41" spans="1:34" ht="36.75" customHeight="1">
      <c r="A41" s="289">
        <f t="shared" si="4"/>
        <v>31</v>
      </c>
      <c r="B41" s="290" t="str">
        <f>IF(基本情報入力シート!B70="","",基本情報入力シート!B70)</f>
        <v>1111111137</v>
      </c>
      <c r="C41" s="291" t="str">
        <f>IF(基本情報入力シート!L70="","",基本情報入力シート!L70)</f>
        <v>香芝市</v>
      </c>
      <c r="D41" s="291" t="str">
        <f>IF(基本情報入力シート!Q70="","",基本情報入力シート!Q70)</f>
        <v>奈良県</v>
      </c>
      <c r="E41" s="291" t="str">
        <f>IF(基本情報入力シート!V70="","",基本情報入力シート!V70)</f>
        <v>香芝市</v>
      </c>
      <c r="F41" s="291" t="str">
        <f>IF(基本情報入力シート!W70="","",基本情報入力シート!W70)</f>
        <v>○○施設</v>
      </c>
      <c r="G41" s="291" t="str">
        <f>IF(基本情報入力シート!X70="","",基本情報入力シート!X70)</f>
        <v>地域密着型介護老人福祉施設</v>
      </c>
      <c r="H41" s="284" t="str">
        <f>IF(基本情報入力シート!Z70="","",基本情報入力シート!Z70)</f>
        <v>54</v>
      </c>
      <c r="I41" s="285" t="str">
        <f>IF(基本情報入力シート!AE70&lt;&gt;"", 基本情報入力シート!AE70, "")</f>
        <v>○</v>
      </c>
      <c r="J41" s="54">
        <f>IF(基本情報入力シート!AA70="","",基本情報入力シート!AA70)</f>
        <v>1000000</v>
      </c>
      <c r="K41" s="57">
        <f>IF(基本情報入力シート!AD70="","",基本情報入力シート!AD70)</f>
        <v>10.14</v>
      </c>
      <c r="L41" s="56">
        <f>IF(G41="","",VLOOKUP(G41,【参考】数式用!$A$3:$C$46,3,FALSE))</f>
        <v>8.3000000000000004E-2</v>
      </c>
      <c r="M41" s="292">
        <f t="shared" si="0"/>
        <v>841620</v>
      </c>
      <c r="N41" s="259" t="s">
        <v>2653</v>
      </c>
      <c r="O41" s="260"/>
      <c r="P41" s="260"/>
      <c r="Q41" s="213"/>
      <c r="R41" s="59"/>
      <c r="S41" s="1124" t="str">
        <f t="shared" si="1"/>
        <v/>
      </c>
      <c r="T41" s="1124"/>
      <c r="U41" s="1124"/>
      <c r="V41" s="1124"/>
      <c r="W41" s="1124"/>
      <c r="X41" s="1124"/>
      <c r="Y41" s="1124"/>
      <c r="Z41" s="1124"/>
      <c r="AA41" s="1124"/>
      <c r="AB41" s="1124"/>
      <c r="AC41" s="1124"/>
      <c r="AE41" s="618" t="str">
        <f t="shared" si="2"/>
        <v>色付け</v>
      </c>
      <c r="AF41" s="300" t="str">
        <f t="shared" si="3"/>
        <v>○</v>
      </c>
      <c r="AG41" s="287" t="e">
        <f>D41&amp;I41&amp;#REF!</f>
        <v>#REF!</v>
      </c>
      <c r="AH41" s="288" t="e">
        <f>IF(#REF!="○", F41, "")</f>
        <v>#REF!</v>
      </c>
    </row>
    <row r="42" spans="1:34" ht="36.75" customHeight="1">
      <c r="A42" s="289">
        <f t="shared" si="4"/>
        <v>32</v>
      </c>
      <c r="B42" s="290" t="str">
        <f>IF(基本情報入力シート!B71="","",基本情報入力シート!B71)</f>
        <v>1111111138</v>
      </c>
      <c r="C42" s="291" t="str">
        <f>IF(基本情報入力シート!L71="","",基本情報入力シート!L71)</f>
        <v>奈良県</v>
      </c>
      <c r="D42" s="291" t="str">
        <f>IF(基本情報入力シート!Q71="","",基本情報入力シート!Q71)</f>
        <v>奈良県</v>
      </c>
      <c r="E42" s="291" t="str">
        <f>IF(基本情報入力シート!V71="","",基本情報入力シート!V71)</f>
        <v>奈良市</v>
      </c>
      <c r="F42" s="291" t="str">
        <f>IF(基本情報入力シート!W71="","",基本情報入力シート!W71)</f>
        <v>○○施設</v>
      </c>
      <c r="G42" s="291" t="str">
        <f>IF(基本情報入力シート!X71="","",基本情報入力シート!X71)</f>
        <v>短期入所生活介護</v>
      </c>
      <c r="H42" s="284" t="str">
        <f>IF(基本情報入力シート!Z71="","",基本情報入力シート!Z71)</f>
        <v>21</v>
      </c>
      <c r="I42" s="285" t="str">
        <f>IF(基本情報入力シート!AE71&lt;&gt;"", 基本情報入力シート!AE71, "")</f>
        <v>○</v>
      </c>
      <c r="J42" s="54">
        <f>IF(基本情報入力シート!AA71="","",基本情報入力シート!AA71)</f>
        <v>1000000</v>
      </c>
      <c r="K42" s="57">
        <f>IF(基本情報入力シート!AD71="","",基本情報入力シート!AD71)</f>
        <v>10.33</v>
      </c>
      <c r="L42" s="56">
        <f>IF(G42="","",VLOOKUP(G42,【参考】数式用!$A$3:$C$46,3,FALSE))</f>
        <v>8.3000000000000004E-2</v>
      </c>
      <c r="M42" s="292">
        <f t="shared" si="0"/>
        <v>857390</v>
      </c>
      <c r="N42" s="259" t="s">
        <v>2653</v>
      </c>
      <c r="O42" s="260"/>
      <c r="P42" s="260"/>
      <c r="Q42" s="213"/>
      <c r="R42" s="59"/>
      <c r="S42" s="1124" t="str">
        <f t="shared" si="1"/>
        <v/>
      </c>
      <c r="T42" s="1124"/>
      <c r="U42" s="1124"/>
      <c r="V42" s="1124"/>
      <c r="W42" s="1124"/>
      <c r="X42" s="1124"/>
      <c r="Y42" s="1124"/>
      <c r="Z42" s="1124"/>
      <c r="AA42" s="1124"/>
      <c r="AB42" s="1124"/>
      <c r="AC42" s="1124"/>
      <c r="AE42" s="618" t="str">
        <f t="shared" si="2"/>
        <v>色付け</v>
      </c>
      <c r="AF42" s="300" t="str">
        <f t="shared" si="3"/>
        <v>○</v>
      </c>
      <c r="AG42" s="287" t="e">
        <f>D42&amp;I42&amp;#REF!</f>
        <v>#REF!</v>
      </c>
      <c r="AH42" s="288" t="e">
        <f>IF(#REF!="○", F42, "")</f>
        <v>#REF!</v>
      </c>
    </row>
    <row r="43" spans="1:34" ht="36.75" customHeight="1">
      <c r="A43" s="289">
        <f t="shared" si="4"/>
        <v>33</v>
      </c>
      <c r="B43" s="290" t="str">
        <f>IF(基本情報入力シート!B72="","",基本情報入力シート!B72)</f>
        <v>1111111139</v>
      </c>
      <c r="C43" s="291" t="str">
        <f>IF(基本情報入力シート!L72="","",基本情報入力シート!L72)</f>
        <v>奈良県</v>
      </c>
      <c r="D43" s="291" t="str">
        <f>IF(基本情報入力シート!Q72="","",基本情報入力シート!Q72)</f>
        <v>奈良県</v>
      </c>
      <c r="E43" s="291" t="str">
        <f>IF(基本情報入力シート!V72="","",基本情報入力シート!V72)</f>
        <v>奈良市</v>
      </c>
      <c r="F43" s="291" t="str">
        <f>IF(基本情報入力シート!W72="","",基本情報入力シート!W72)</f>
        <v>○○施設</v>
      </c>
      <c r="G43" s="291" t="str">
        <f>IF(基本情報入力シート!X72="","",基本情報入力シート!X72)</f>
        <v>介護予防短期入所生活介護</v>
      </c>
      <c r="H43" s="284" t="str">
        <f>IF(基本情報入力シート!Z72="","",基本情報入力シート!Z72)</f>
        <v>24</v>
      </c>
      <c r="I43" s="285" t="str">
        <f>IF(基本情報入力シート!AE72&lt;&gt;"", 基本情報入力シート!AE72, "")</f>
        <v>○</v>
      </c>
      <c r="J43" s="54">
        <f>IF(基本情報入力シート!AA72="","",基本情報入力シート!AA72)</f>
        <v>1000000</v>
      </c>
      <c r="K43" s="57">
        <f>IF(基本情報入力シート!AD72="","",基本情報入力シート!AD72)</f>
        <v>10.33</v>
      </c>
      <c r="L43" s="56">
        <f>IF(G43="","",VLOOKUP(G43,【参考】数式用!$A$3:$C$46,3,FALSE))</f>
        <v>8.3000000000000004E-2</v>
      </c>
      <c r="M43" s="292">
        <f t="shared" ref="M43:M74" si="5">IFERROR(IF(I43="○",ROUNDDOWN(ROUNDDOWN(J43*K43,0)*L43,0),""), "単価未入力")</f>
        <v>857390</v>
      </c>
      <c r="N43" s="259" t="s">
        <v>2653</v>
      </c>
      <c r="O43" s="260"/>
      <c r="P43" s="260"/>
      <c r="Q43" s="213"/>
      <c r="R43" s="59"/>
      <c r="S43" s="1124" t="str">
        <f t="shared" ref="S43:S74" si="6">IF(AND(M43&lt;&gt;"",AF43="×"),"！複数の交付対象月を選んでいる、交付対象月が選ばれていない又は補助金を申請予定でないのに交付対象月が選ばれています。", "")</f>
        <v/>
      </c>
      <c r="T43" s="1124"/>
      <c r="U43" s="1124"/>
      <c r="V43" s="1124"/>
      <c r="W43" s="1124"/>
      <c r="X43" s="1124"/>
      <c r="Y43" s="1124"/>
      <c r="Z43" s="1124"/>
      <c r="AA43" s="1124"/>
      <c r="AB43" s="1124"/>
      <c r="AC43" s="1124"/>
      <c r="AE43" s="618" t="str">
        <f t="shared" ref="AE43:AE74" si="7">IF(AND(G43&lt;&gt;"",I43="○"), "色付け", "")</f>
        <v>色付け</v>
      </c>
      <c r="AF43" s="300" t="str">
        <f t="shared" ref="AF43:AF74" si="8">IF(COUNTIF(N43:Q43, "○")=1, "○", "×")</f>
        <v>○</v>
      </c>
      <c r="AG43" s="287" t="e">
        <f>D43&amp;I43&amp;#REF!</f>
        <v>#REF!</v>
      </c>
      <c r="AH43" s="288" t="e">
        <f>IF(#REF!="○", F43, "")</f>
        <v>#REF!</v>
      </c>
    </row>
    <row r="44" spans="1:34" ht="36.75" customHeight="1">
      <c r="A44" s="289">
        <f t="shared" si="4"/>
        <v>34</v>
      </c>
      <c r="B44" s="290" t="str">
        <f>IF(基本情報入力シート!B73="","",基本情報入力シート!B73)</f>
        <v>1111111140</v>
      </c>
      <c r="C44" s="291" t="str">
        <f>IF(基本情報入力シート!L73="","",基本情報入力シート!L73)</f>
        <v>奈良県</v>
      </c>
      <c r="D44" s="291" t="str">
        <f>IF(基本情報入力シート!Q73="","",基本情報入力シート!Q73)</f>
        <v>奈良県</v>
      </c>
      <c r="E44" s="291" t="str">
        <f>IF(基本情報入力シート!V73="","",基本情報入力シート!V73)</f>
        <v>奈良市</v>
      </c>
      <c r="F44" s="291" t="str">
        <f>IF(基本情報入力シート!W73="","",基本情報入力シート!W73)</f>
        <v>○○施設</v>
      </c>
      <c r="G44" s="291" t="str">
        <f>IF(基本情報入力シート!X73="","",基本情報入力シート!X73)</f>
        <v>介護老人保健施設サービス</v>
      </c>
      <c r="H44" s="284" t="str">
        <f>IF(基本情報入力シート!Z73="","",基本情報入力シート!Z73)</f>
        <v>52</v>
      </c>
      <c r="I44" s="285" t="str">
        <f>IF(基本情報入力シート!AE73&lt;&gt;"", 基本情報入力シート!AE73, "")</f>
        <v>○</v>
      </c>
      <c r="J44" s="54">
        <f>IF(基本情報入力シート!AA73="","",基本情報入力シート!AA73)</f>
        <v>1000000</v>
      </c>
      <c r="K44" s="57">
        <f>IF(基本情報入力シート!AD73="","",基本情報入力シート!AD73)</f>
        <v>10.27</v>
      </c>
      <c r="L44" s="56">
        <f>IF(G44="","",VLOOKUP(G44,【参考】数式用!$A$3:$C$46,3,FALSE))</f>
        <v>4.2999999999999997E-2</v>
      </c>
      <c r="M44" s="292">
        <f t="shared" si="5"/>
        <v>441610</v>
      </c>
      <c r="N44" s="259" t="s">
        <v>2653</v>
      </c>
      <c r="O44" s="260"/>
      <c r="P44" s="260"/>
      <c r="Q44" s="213"/>
      <c r="R44" s="59"/>
      <c r="S44" s="1124" t="str">
        <f t="shared" si="6"/>
        <v/>
      </c>
      <c r="T44" s="1124"/>
      <c r="U44" s="1124"/>
      <c r="V44" s="1124"/>
      <c r="W44" s="1124"/>
      <c r="X44" s="1124"/>
      <c r="Y44" s="1124"/>
      <c r="Z44" s="1124"/>
      <c r="AA44" s="1124"/>
      <c r="AB44" s="1124"/>
      <c r="AC44" s="1124"/>
      <c r="AE44" s="618" t="str">
        <f t="shared" si="7"/>
        <v>色付け</v>
      </c>
      <c r="AF44" s="300" t="str">
        <f t="shared" si="8"/>
        <v>○</v>
      </c>
      <c r="AG44" s="287" t="e">
        <f>D44&amp;I44&amp;#REF!</f>
        <v>#REF!</v>
      </c>
      <c r="AH44" s="288" t="e">
        <f>IF(#REF!="○", F44, "")</f>
        <v>#REF!</v>
      </c>
    </row>
    <row r="45" spans="1:34" ht="36.75" customHeight="1">
      <c r="A45" s="289">
        <f t="shared" si="4"/>
        <v>35</v>
      </c>
      <c r="B45" s="290" t="str">
        <f>IF(基本情報入力シート!B74="","",基本情報入力シート!B74)</f>
        <v>1111111141</v>
      </c>
      <c r="C45" s="291" t="str">
        <f>IF(基本情報入力シート!L74="","",基本情報入力シート!L74)</f>
        <v>奈良県</v>
      </c>
      <c r="D45" s="291" t="str">
        <f>IF(基本情報入力シート!Q74="","",基本情報入力シート!Q74)</f>
        <v>奈良県</v>
      </c>
      <c r="E45" s="291" t="str">
        <f>IF(基本情報入力シート!V74="","",基本情報入力シート!V74)</f>
        <v>奈良市</v>
      </c>
      <c r="F45" s="291" t="str">
        <f>IF(基本情報入力シート!W74="","",基本情報入力シート!W74)</f>
        <v>○○施設</v>
      </c>
      <c r="G45" s="291" t="str">
        <f>IF(基本情報入力シート!X74="","",基本情報入力シート!X74)</f>
        <v>短期入所療養介護（介護老人保健施設）</v>
      </c>
      <c r="H45" s="284" t="str">
        <f>IF(基本情報入力シート!Z74="","",基本情報入力シート!Z74)</f>
        <v>22</v>
      </c>
      <c r="I45" s="285" t="str">
        <f>IF(基本情報入力シート!AE74&lt;&gt;"", 基本情報入力シート!AE74, "")</f>
        <v>○</v>
      </c>
      <c r="J45" s="54">
        <f>IF(基本情報入力シート!AA74="","",基本情報入力シート!AA74)</f>
        <v>1000000</v>
      </c>
      <c r="K45" s="57">
        <f>IF(基本情報入力シート!AD74="","",基本情報入力シート!AD74)</f>
        <v>10.27</v>
      </c>
      <c r="L45" s="56">
        <f>IF(G45="","",VLOOKUP(G45,【参考】数式用!$A$3:$C$46,3,FALSE))</f>
        <v>4.2999999999999997E-2</v>
      </c>
      <c r="M45" s="292">
        <f t="shared" si="5"/>
        <v>441610</v>
      </c>
      <c r="N45" s="259" t="s">
        <v>2653</v>
      </c>
      <c r="O45" s="260"/>
      <c r="P45" s="260"/>
      <c r="Q45" s="213"/>
      <c r="R45" s="59"/>
      <c r="S45" s="1124" t="str">
        <f t="shared" si="6"/>
        <v/>
      </c>
      <c r="T45" s="1124"/>
      <c r="U45" s="1124"/>
      <c r="V45" s="1124"/>
      <c r="W45" s="1124"/>
      <c r="X45" s="1124"/>
      <c r="Y45" s="1124"/>
      <c r="Z45" s="1124"/>
      <c r="AA45" s="1124"/>
      <c r="AB45" s="1124"/>
      <c r="AC45" s="1124"/>
      <c r="AE45" s="618" t="str">
        <f t="shared" si="7"/>
        <v>色付け</v>
      </c>
      <c r="AF45" s="300" t="str">
        <f t="shared" si="8"/>
        <v>○</v>
      </c>
      <c r="AG45" s="287" t="e">
        <f>D45&amp;I45&amp;#REF!</f>
        <v>#REF!</v>
      </c>
      <c r="AH45" s="288" t="e">
        <f>IF(#REF!="○", F45, "")</f>
        <v>#REF!</v>
      </c>
    </row>
    <row r="46" spans="1:34" ht="36.75" customHeight="1">
      <c r="A46" s="289">
        <f t="shared" si="4"/>
        <v>36</v>
      </c>
      <c r="B46" s="290" t="str">
        <f>IF(基本情報入力シート!B75="","",基本情報入力シート!B75)</f>
        <v>1111111142</v>
      </c>
      <c r="C46" s="291" t="str">
        <f>IF(基本情報入力シート!L75="","",基本情報入力シート!L75)</f>
        <v>奈良県</v>
      </c>
      <c r="D46" s="291" t="str">
        <f>IF(基本情報入力シート!Q75="","",基本情報入力シート!Q75)</f>
        <v>奈良県</v>
      </c>
      <c r="E46" s="291" t="str">
        <f>IF(基本情報入力シート!V75="","",基本情報入力シート!V75)</f>
        <v>奈良市</v>
      </c>
      <c r="F46" s="291" t="str">
        <f>IF(基本情報入力シート!W75="","",基本情報入力シート!W75)</f>
        <v>○○施設</v>
      </c>
      <c r="G46" s="291" t="str">
        <f>IF(基本情報入力シート!X75="","",基本情報入力シート!X75)</f>
        <v>介護予防短期入所療養介護（介護老人保健施設）</v>
      </c>
      <c r="H46" s="284" t="str">
        <f>IF(基本情報入力シート!Z75="","",基本情報入力シート!Z75)</f>
        <v>25</v>
      </c>
      <c r="I46" s="285" t="str">
        <f>IF(基本情報入力シート!AE75&lt;&gt;"", 基本情報入力シート!AE75, "")</f>
        <v>○</v>
      </c>
      <c r="J46" s="54">
        <f>IF(基本情報入力シート!AA75="","",基本情報入力シート!AA75)</f>
        <v>1000000</v>
      </c>
      <c r="K46" s="57">
        <f>IF(基本情報入力シート!AD75="","",基本情報入力シート!AD75)</f>
        <v>10.27</v>
      </c>
      <c r="L46" s="56">
        <f>IF(G46="","",VLOOKUP(G46,【参考】数式用!$A$3:$C$46,3,FALSE))</f>
        <v>4.2999999999999997E-2</v>
      </c>
      <c r="M46" s="292">
        <f t="shared" si="5"/>
        <v>441610</v>
      </c>
      <c r="N46" s="259" t="s">
        <v>2653</v>
      </c>
      <c r="O46" s="260"/>
      <c r="P46" s="260"/>
      <c r="Q46" s="213"/>
      <c r="R46" s="59"/>
      <c r="S46" s="1124" t="str">
        <f t="shared" si="6"/>
        <v/>
      </c>
      <c r="T46" s="1124"/>
      <c r="U46" s="1124"/>
      <c r="V46" s="1124"/>
      <c r="W46" s="1124"/>
      <c r="X46" s="1124"/>
      <c r="Y46" s="1124"/>
      <c r="Z46" s="1124"/>
      <c r="AA46" s="1124"/>
      <c r="AB46" s="1124"/>
      <c r="AC46" s="1124"/>
      <c r="AE46" s="618" t="str">
        <f t="shared" si="7"/>
        <v>色付け</v>
      </c>
      <c r="AF46" s="300" t="str">
        <f t="shared" si="8"/>
        <v>○</v>
      </c>
      <c r="AG46" s="287" t="e">
        <f>D46&amp;I46&amp;#REF!</f>
        <v>#REF!</v>
      </c>
      <c r="AH46" s="288" t="e">
        <f>IF(#REF!="○", F46, "")</f>
        <v>#REF!</v>
      </c>
    </row>
    <row r="47" spans="1:34" ht="36.75" customHeight="1">
      <c r="A47" s="289">
        <f t="shared" si="4"/>
        <v>37</v>
      </c>
      <c r="B47" s="290" t="str">
        <f>IF(基本情報入力シート!B76="","",基本情報入力シート!B76)</f>
        <v>1111111143</v>
      </c>
      <c r="C47" s="291" t="str">
        <f>IF(基本情報入力シート!L76="","",基本情報入力シート!L76)</f>
        <v>奈良県</v>
      </c>
      <c r="D47" s="291" t="str">
        <f>IF(基本情報入力シート!Q76="","",基本情報入力シート!Q76)</f>
        <v>奈良県</v>
      </c>
      <c r="E47" s="291" t="str">
        <f>IF(基本情報入力シート!V76="","",基本情報入力シート!V76)</f>
        <v>奈良市</v>
      </c>
      <c r="F47" s="291" t="str">
        <f>IF(基本情報入力シート!W76="","",基本情報入力シート!W76)</f>
        <v>○○施設</v>
      </c>
      <c r="G47" s="291" t="str">
        <f>IF(基本情報入力シート!X76="","",基本情報入力シート!X76)</f>
        <v>短期入所療養介護 （病院等（老健以外）)</v>
      </c>
      <c r="H47" s="284" t="str">
        <f>IF(基本情報入力シート!Z76="","",基本情報入力シート!Z76)</f>
        <v>23</v>
      </c>
      <c r="I47" s="285" t="str">
        <f>IF(基本情報入力シート!AE76&lt;&gt;"", 基本情報入力シート!AE76, "")</f>
        <v>○</v>
      </c>
      <c r="J47" s="54">
        <f>IF(基本情報入力シート!AA76="","",基本情報入力シート!AA76)</f>
        <v>1000000</v>
      </c>
      <c r="K47" s="57">
        <f>IF(基本情報入力シート!AD76="","",基本情報入力シート!AD76)</f>
        <v>10.27</v>
      </c>
      <c r="L47" s="56">
        <f>IF(G47="","",VLOOKUP(G47,【参考】数式用!$A$3:$C$46,3,FALSE))</f>
        <v>2.7E-2</v>
      </c>
      <c r="M47" s="292">
        <f t="shared" si="5"/>
        <v>277290</v>
      </c>
      <c r="N47" s="259" t="s">
        <v>2653</v>
      </c>
      <c r="O47" s="260"/>
      <c r="P47" s="260"/>
      <c r="Q47" s="213"/>
      <c r="R47" s="59"/>
      <c r="S47" s="1124" t="str">
        <f t="shared" si="6"/>
        <v/>
      </c>
      <c r="T47" s="1124"/>
      <c r="U47" s="1124"/>
      <c r="V47" s="1124"/>
      <c r="W47" s="1124"/>
      <c r="X47" s="1124"/>
      <c r="Y47" s="1124"/>
      <c r="Z47" s="1124"/>
      <c r="AA47" s="1124"/>
      <c r="AB47" s="1124"/>
      <c r="AC47" s="1124"/>
      <c r="AE47" s="618" t="str">
        <f t="shared" si="7"/>
        <v>色付け</v>
      </c>
      <c r="AF47" s="300" t="str">
        <f t="shared" si="8"/>
        <v>○</v>
      </c>
      <c r="AG47" s="287" t="e">
        <f>D47&amp;I47&amp;#REF!</f>
        <v>#REF!</v>
      </c>
      <c r="AH47" s="288" t="e">
        <f>IF(#REF!="○", F47, "")</f>
        <v>#REF!</v>
      </c>
    </row>
    <row r="48" spans="1:34" ht="36.75" customHeight="1">
      <c r="A48" s="289">
        <f t="shared" si="4"/>
        <v>38</v>
      </c>
      <c r="B48" s="290" t="str">
        <f>IF(基本情報入力シート!B77="","",基本情報入力シート!B77)</f>
        <v>1111111144</v>
      </c>
      <c r="C48" s="291" t="str">
        <f>IF(基本情報入力シート!L77="","",基本情報入力シート!L77)</f>
        <v>奈良県</v>
      </c>
      <c r="D48" s="291" t="str">
        <f>IF(基本情報入力シート!Q77="","",基本情報入力シート!Q77)</f>
        <v>奈良県</v>
      </c>
      <c r="E48" s="291" t="str">
        <f>IF(基本情報入力シート!V77="","",基本情報入力シート!V77)</f>
        <v>奈良市</v>
      </c>
      <c r="F48" s="291" t="str">
        <f>IF(基本情報入力シート!W77="","",基本情報入力シート!W77)</f>
        <v>○○施設</v>
      </c>
      <c r="G48" s="291" t="str">
        <f>IF(基本情報入力シート!X77="","",基本情報入力シート!X77)</f>
        <v>介護予防短期入所療養介護 （病院等（老健以外）)</v>
      </c>
      <c r="H48" s="284" t="str">
        <f>IF(基本情報入力シート!Z77="","",基本情報入力シート!Z77)</f>
        <v>26</v>
      </c>
      <c r="I48" s="285" t="str">
        <f>IF(基本情報入力シート!AE77&lt;&gt;"", 基本情報入力シート!AE77, "")</f>
        <v>○</v>
      </c>
      <c r="J48" s="54">
        <f>IF(基本情報入力シート!AA77="","",基本情報入力シート!AA77)</f>
        <v>1000000</v>
      </c>
      <c r="K48" s="57">
        <f>IF(基本情報入力シート!AD77="","",基本情報入力シート!AD77)</f>
        <v>10.27</v>
      </c>
      <c r="L48" s="56">
        <f>IF(G48="","",VLOOKUP(G48,【参考】数式用!$A$3:$C$46,3,FALSE))</f>
        <v>2.7E-2</v>
      </c>
      <c r="M48" s="292">
        <f t="shared" si="5"/>
        <v>277290</v>
      </c>
      <c r="N48" s="259" t="s">
        <v>2653</v>
      </c>
      <c r="O48" s="260"/>
      <c r="P48" s="260"/>
      <c r="Q48" s="213"/>
      <c r="R48" s="59"/>
      <c r="S48" s="1124" t="str">
        <f t="shared" si="6"/>
        <v/>
      </c>
      <c r="T48" s="1124"/>
      <c r="U48" s="1124"/>
      <c r="V48" s="1124"/>
      <c r="W48" s="1124"/>
      <c r="X48" s="1124"/>
      <c r="Y48" s="1124"/>
      <c r="Z48" s="1124"/>
      <c r="AA48" s="1124"/>
      <c r="AB48" s="1124"/>
      <c r="AC48" s="1124"/>
      <c r="AE48" s="618" t="str">
        <f t="shared" si="7"/>
        <v>色付け</v>
      </c>
      <c r="AF48" s="300" t="str">
        <f t="shared" si="8"/>
        <v>○</v>
      </c>
      <c r="AG48" s="287" t="e">
        <f>D48&amp;I48&amp;#REF!</f>
        <v>#REF!</v>
      </c>
      <c r="AH48" s="288" t="e">
        <f>IF(#REF!="○", F48, "")</f>
        <v>#REF!</v>
      </c>
    </row>
    <row r="49" spans="1:34" ht="36.75" customHeight="1">
      <c r="A49" s="289">
        <f t="shared" si="4"/>
        <v>39</v>
      </c>
      <c r="B49" s="290" t="str">
        <f>IF(基本情報入力シート!B78="","",基本情報入力シート!B78)</f>
        <v>1111111145</v>
      </c>
      <c r="C49" s="291" t="str">
        <f>IF(基本情報入力シート!L78="","",基本情報入力シート!L78)</f>
        <v>奈良県</v>
      </c>
      <c r="D49" s="291" t="str">
        <f>IF(基本情報入力シート!Q78="","",基本情報入力シート!Q78)</f>
        <v>奈良県</v>
      </c>
      <c r="E49" s="291" t="str">
        <f>IF(基本情報入力シート!V78="","",基本情報入力シート!V78)</f>
        <v>奈良市</v>
      </c>
      <c r="F49" s="291" t="str">
        <f>IF(基本情報入力シート!W78="","",基本情報入力シート!W78)</f>
        <v>○○施設</v>
      </c>
      <c r="G49" s="291" t="str">
        <f>IF(基本情報入力シート!X78="","",基本情報入力シート!X78)</f>
        <v>介護医療院サービス</v>
      </c>
      <c r="H49" s="284" t="str">
        <f>IF(基本情報入力シート!Z78="","",基本情報入力シート!Z78)</f>
        <v>55</v>
      </c>
      <c r="I49" s="285" t="str">
        <f>IF(基本情報入力シート!AE78&lt;&gt;"", 基本情報入力シート!AE78, "")</f>
        <v>○</v>
      </c>
      <c r="J49" s="54">
        <f>IF(基本情報入力シート!AA78="","",基本情報入力シート!AA78)</f>
        <v>1000000</v>
      </c>
      <c r="K49" s="57">
        <f>IF(基本情報入力シート!AD78="","",基本情報入力シート!AD78)</f>
        <v>10.27</v>
      </c>
      <c r="L49" s="56">
        <f>IF(G49="","",VLOOKUP(G49,【参考】数式用!$A$3:$C$46,3,FALSE))</f>
        <v>2.7E-2</v>
      </c>
      <c r="M49" s="292">
        <f t="shared" si="5"/>
        <v>277290</v>
      </c>
      <c r="N49" s="259" t="s">
        <v>2653</v>
      </c>
      <c r="O49" s="260"/>
      <c r="P49" s="260"/>
      <c r="Q49" s="213"/>
      <c r="R49" s="59"/>
      <c r="S49" s="1124" t="str">
        <f t="shared" si="6"/>
        <v/>
      </c>
      <c r="T49" s="1124"/>
      <c r="U49" s="1124"/>
      <c r="V49" s="1124"/>
      <c r="W49" s="1124"/>
      <c r="X49" s="1124"/>
      <c r="Y49" s="1124"/>
      <c r="Z49" s="1124"/>
      <c r="AA49" s="1124"/>
      <c r="AB49" s="1124"/>
      <c r="AC49" s="1124"/>
      <c r="AE49" s="618" t="str">
        <f t="shared" si="7"/>
        <v>色付け</v>
      </c>
      <c r="AF49" s="300" t="str">
        <f t="shared" si="8"/>
        <v>○</v>
      </c>
      <c r="AG49" s="287" t="e">
        <f>D49&amp;I49&amp;#REF!</f>
        <v>#REF!</v>
      </c>
      <c r="AH49" s="288" t="e">
        <f>IF(#REF!="○", F49, "")</f>
        <v>#REF!</v>
      </c>
    </row>
    <row r="50" spans="1:34" ht="36.75" customHeight="1">
      <c r="A50" s="289">
        <f t="shared" si="4"/>
        <v>40</v>
      </c>
      <c r="B50" s="290" t="str">
        <f>IF(基本情報入力シート!B79="","",基本情報入力シート!B79)</f>
        <v>1111111146</v>
      </c>
      <c r="C50" s="291" t="str">
        <f>IF(基本情報入力シート!L79="","",基本情報入力シート!L79)</f>
        <v>奈良県</v>
      </c>
      <c r="D50" s="291" t="str">
        <f>IF(基本情報入力シート!Q79="","",基本情報入力シート!Q79)</f>
        <v>奈良県</v>
      </c>
      <c r="E50" s="291" t="str">
        <f>IF(基本情報入力シート!V79="","",基本情報入力シート!V79)</f>
        <v>奈良市</v>
      </c>
      <c r="F50" s="291" t="str">
        <f>IF(基本情報入力シート!W79="","",基本情報入力シート!W79)</f>
        <v>○○施設</v>
      </c>
      <c r="G50" s="291" t="str">
        <f>IF(基本情報入力シート!X79="","",基本情報入力シート!X79)</f>
        <v>短期入所療養介護（介護医療院）</v>
      </c>
      <c r="H50" s="284" t="str">
        <f>IF(基本情報入力シート!Z79="","",基本情報入力シート!Z79)</f>
        <v>2A</v>
      </c>
      <c r="I50" s="285" t="str">
        <f>IF(基本情報入力シート!AE79&lt;&gt;"", 基本情報入力シート!AE79, "")</f>
        <v>○</v>
      </c>
      <c r="J50" s="54">
        <f>IF(基本情報入力シート!AA79="","",基本情報入力シート!AA79)</f>
        <v>1000000</v>
      </c>
      <c r="K50" s="57">
        <f>IF(基本情報入力シート!AD79="","",基本情報入力シート!AD79)</f>
        <v>10.27</v>
      </c>
      <c r="L50" s="56">
        <f>IF(G50="","",VLOOKUP(G50,【参考】数式用!$A$3:$C$46,3,FALSE))</f>
        <v>2.7E-2</v>
      </c>
      <c r="M50" s="292">
        <f t="shared" si="5"/>
        <v>277290</v>
      </c>
      <c r="N50" s="259" t="s">
        <v>2653</v>
      </c>
      <c r="O50" s="260"/>
      <c r="P50" s="260"/>
      <c r="Q50" s="213"/>
      <c r="R50" s="59"/>
      <c r="S50" s="1124" t="str">
        <f t="shared" si="6"/>
        <v/>
      </c>
      <c r="T50" s="1124"/>
      <c r="U50" s="1124"/>
      <c r="V50" s="1124"/>
      <c r="W50" s="1124"/>
      <c r="X50" s="1124"/>
      <c r="Y50" s="1124"/>
      <c r="Z50" s="1124"/>
      <c r="AA50" s="1124"/>
      <c r="AB50" s="1124"/>
      <c r="AC50" s="1124"/>
      <c r="AE50" s="618" t="str">
        <f t="shared" si="7"/>
        <v>色付け</v>
      </c>
      <c r="AF50" s="300" t="str">
        <f t="shared" si="8"/>
        <v>○</v>
      </c>
      <c r="AG50" s="287" t="e">
        <f>D50&amp;I50&amp;#REF!</f>
        <v>#REF!</v>
      </c>
      <c r="AH50" s="288" t="e">
        <f>IF(#REF!="○", F50, "")</f>
        <v>#REF!</v>
      </c>
    </row>
    <row r="51" spans="1:34" ht="36.75" customHeight="1">
      <c r="A51" s="289">
        <f t="shared" si="4"/>
        <v>41</v>
      </c>
      <c r="B51" s="290" t="str">
        <f>IF(基本情報入力シート!B80="","",基本情報入力シート!B80)</f>
        <v>1111111147</v>
      </c>
      <c r="C51" s="291" t="str">
        <f>IF(基本情報入力シート!L80="","",基本情報入力シート!L80)</f>
        <v>奈良県</v>
      </c>
      <c r="D51" s="291" t="str">
        <f>IF(基本情報入力シート!Q80="","",基本情報入力シート!Q80)</f>
        <v>奈良県</v>
      </c>
      <c r="E51" s="291" t="str">
        <f>IF(基本情報入力シート!V80="","",基本情報入力シート!V80)</f>
        <v>奈良市</v>
      </c>
      <c r="F51" s="291" t="str">
        <f>IF(基本情報入力シート!W80="","",基本情報入力シート!W80)</f>
        <v>○○施設</v>
      </c>
      <c r="G51" s="291" t="str">
        <f>IF(基本情報入力シート!X80="","",基本情報入力シート!X80)</f>
        <v>介護予防短期入所療養介護（介護医療院）</v>
      </c>
      <c r="H51" s="284" t="str">
        <f>IF(基本情報入力シート!Z80="","",基本情報入力シート!Z80)</f>
        <v>2B</v>
      </c>
      <c r="I51" s="285" t="str">
        <f>IF(基本情報入力シート!AE80&lt;&gt;"", 基本情報入力シート!AE80, "")</f>
        <v>○</v>
      </c>
      <c r="J51" s="54">
        <f>IF(基本情報入力シート!AA80="","",基本情報入力シート!AA80)</f>
        <v>1000000</v>
      </c>
      <c r="K51" s="57">
        <f>IF(基本情報入力シート!AD80="","",基本情報入力シート!AD80)</f>
        <v>10.27</v>
      </c>
      <c r="L51" s="56">
        <f>IF(G51="","",VLOOKUP(G51,【参考】数式用!$A$3:$C$46,3,FALSE))</f>
        <v>2.7E-2</v>
      </c>
      <c r="M51" s="292">
        <f t="shared" si="5"/>
        <v>277290</v>
      </c>
      <c r="N51" s="259" t="s">
        <v>2653</v>
      </c>
      <c r="O51" s="260"/>
      <c r="P51" s="260"/>
      <c r="Q51" s="213"/>
      <c r="R51" s="59"/>
      <c r="S51" s="1124" t="str">
        <f t="shared" si="6"/>
        <v/>
      </c>
      <c r="T51" s="1124"/>
      <c r="U51" s="1124"/>
      <c r="V51" s="1124"/>
      <c r="W51" s="1124"/>
      <c r="X51" s="1124"/>
      <c r="Y51" s="1124"/>
      <c r="Z51" s="1124"/>
      <c r="AA51" s="1124"/>
      <c r="AB51" s="1124"/>
      <c r="AC51" s="1124"/>
      <c r="AE51" s="618" t="str">
        <f t="shared" si="7"/>
        <v>色付け</v>
      </c>
      <c r="AF51" s="300" t="str">
        <f t="shared" si="8"/>
        <v>○</v>
      </c>
      <c r="AG51" s="287" t="e">
        <f>D51&amp;I51&amp;#REF!</f>
        <v>#REF!</v>
      </c>
      <c r="AH51" s="288" t="e">
        <f>IF(#REF!="○", F51, "")</f>
        <v>#REF!</v>
      </c>
    </row>
    <row r="52" spans="1:34" ht="36.75" customHeight="1">
      <c r="A52" s="289">
        <f t="shared" si="4"/>
        <v>42</v>
      </c>
      <c r="B52" s="290" t="str">
        <f>IF(基本情報入力シート!B81="","",基本情報入力シート!B81)</f>
        <v>1111111148</v>
      </c>
      <c r="C52" s="291" t="str">
        <f>IF(基本情報入力シート!L81="","",基本情報入力シート!L81)</f>
        <v>葛城市</v>
      </c>
      <c r="D52" s="291" t="str">
        <f>IF(基本情報入力シート!Q81="","",基本情報入力シート!Q81)</f>
        <v>奈良県</v>
      </c>
      <c r="E52" s="291" t="str">
        <f>IF(基本情報入力シート!V81="","",基本情報入力シート!V81)</f>
        <v>葛城市</v>
      </c>
      <c r="F52" s="291" t="str">
        <f>IF(基本情報入力シート!W81="","",基本情報入力シート!W81)</f>
        <v>○○ホームヘルプ</v>
      </c>
      <c r="G52" s="291" t="str">
        <f>IF(基本情報入力シート!X81="","",基本情報入力シート!X81)</f>
        <v>訪問型サービス（独自）</v>
      </c>
      <c r="H52" s="284" t="str">
        <f>IF(基本情報入力シート!Z81="","",基本情報入力シート!Z81)</f>
        <v>A2</v>
      </c>
      <c r="I52" s="285" t="str">
        <f>IF(基本情報入力シート!AE81&lt;&gt;"", 基本情報入力シート!AE81, "")</f>
        <v>○</v>
      </c>
      <c r="J52" s="54">
        <f>IF(基本情報入力シート!AA81="","",基本情報入力シート!AA81)</f>
        <v>1000000</v>
      </c>
      <c r="K52" s="57" t="str">
        <f>IF(基本情報入力シート!AD81="","",基本情報入力シート!AD81)</f>
        <v>数式を削除して手入力</v>
      </c>
      <c r="L52" s="56">
        <f>IF(G52="","",VLOOKUP(G52,【参考】数式用!$A$3:$C$46,3,FALSE))</f>
        <v>0.105</v>
      </c>
      <c r="M52" s="292" t="str">
        <f t="shared" si="5"/>
        <v>単価未入力</v>
      </c>
      <c r="N52" s="259" t="s">
        <v>2653</v>
      </c>
      <c r="O52" s="260"/>
      <c r="P52" s="260"/>
      <c r="Q52" s="213"/>
      <c r="R52" s="59"/>
      <c r="S52" s="1124" t="str">
        <f t="shared" si="6"/>
        <v/>
      </c>
      <c r="T52" s="1124"/>
      <c r="U52" s="1124"/>
      <c r="V52" s="1124"/>
      <c r="W52" s="1124"/>
      <c r="X52" s="1124"/>
      <c r="Y52" s="1124"/>
      <c r="Z52" s="1124"/>
      <c r="AA52" s="1124"/>
      <c r="AB52" s="1124"/>
      <c r="AC52" s="1124"/>
      <c r="AE52" s="618" t="str">
        <f t="shared" si="7"/>
        <v>色付け</v>
      </c>
      <c r="AF52" s="300" t="str">
        <f t="shared" si="8"/>
        <v>○</v>
      </c>
      <c r="AG52" s="287" t="e">
        <f>D52&amp;I52&amp;#REF!</f>
        <v>#REF!</v>
      </c>
      <c r="AH52" s="288" t="e">
        <f>IF(#REF!="○", F52, "")</f>
        <v>#REF!</v>
      </c>
    </row>
    <row r="53" spans="1:34" ht="36.75" customHeight="1">
      <c r="A53" s="289">
        <f t="shared" si="4"/>
        <v>43</v>
      </c>
      <c r="B53" s="290" t="str">
        <f>IF(基本情報入力シート!B82="","",基本情報入力シート!B82)</f>
        <v>1111111149</v>
      </c>
      <c r="C53" s="291" t="str">
        <f>IF(基本情報入力シート!L82="","",基本情報入力シート!L82)</f>
        <v>葛城市</v>
      </c>
      <c r="D53" s="291" t="str">
        <f>IF(基本情報入力シート!Q82="","",基本情報入力シート!Q82)</f>
        <v>奈良県</v>
      </c>
      <c r="E53" s="291" t="str">
        <f>IF(基本情報入力シート!V82="","",基本情報入力シート!V82)</f>
        <v>葛城市</v>
      </c>
      <c r="F53" s="291" t="str">
        <f>IF(基本情報入力シート!W82="","",基本情報入力シート!W82)</f>
        <v>○○ホームヘルプ</v>
      </c>
      <c r="G53" s="291" t="str">
        <f>IF(基本情報入力シート!X82="","",基本情報入力シート!X82)</f>
        <v>訪問型サービス（独自／定率）</v>
      </c>
      <c r="H53" s="284" t="str">
        <f>IF(基本情報入力シート!Z82="","",基本情報入力シート!Z82)</f>
        <v>A3</v>
      </c>
      <c r="I53" s="285" t="str">
        <f>IF(基本情報入力シート!AE82&lt;&gt;"", 基本情報入力シート!AE82, "")</f>
        <v>○</v>
      </c>
      <c r="J53" s="54">
        <f>IF(基本情報入力シート!AA82="","",基本情報入力シート!AA82)</f>
        <v>1000000</v>
      </c>
      <c r="K53" s="57" t="str">
        <f>IF(基本情報入力シート!AD82="","",基本情報入力シート!AD82)</f>
        <v>数式を削除して手入力</v>
      </c>
      <c r="L53" s="56">
        <f>IF(G53="","",VLOOKUP(G53,【参考】数式用!$A$3:$C$46,3,FALSE))</f>
        <v>0.105</v>
      </c>
      <c r="M53" s="292" t="str">
        <f t="shared" si="5"/>
        <v>単価未入力</v>
      </c>
      <c r="N53" s="259" t="s">
        <v>2653</v>
      </c>
      <c r="O53" s="260"/>
      <c r="P53" s="260"/>
      <c r="Q53" s="213"/>
      <c r="R53" s="59"/>
      <c r="S53" s="1124" t="str">
        <f t="shared" si="6"/>
        <v/>
      </c>
      <c r="T53" s="1124"/>
      <c r="U53" s="1124"/>
      <c r="V53" s="1124"/>
      <c r="W53" s="1124"/>
      <c r="X53" s="1124"/>
      <c r="Y53" s="1124"/>
      <c r="Z53" s="1124"/>
      <c r="AA53" s="1124"/>
      <c r="AB53" s="1124"/>
      <c r="AC53" s="1124"/>
      <c r="AE53" s="618" t="str">
        <f t="shared" si="7"/>
        <v>色付け</v>
      </c>
      <c r="AF53" s="300" t="str">
        <f t="shared" si="8"/>
        <v>○</v>
      </c>
      <c r="AG53" s="287" t="e">
        <f>D53&amp;I53&amp;#REF!</f>
        <v>#REF!</v>
      </c>
      <c r="AH53" s="288" t="e">
        <f>IF(#REF!="○", F53, "")</f>
        <v>#REF!</v>
      </c>
    </row>
    <row r="54" spans="1:34" ht="36.75" customHeight="1">
      <c r="A54" s="289">
        <f t="shared" si="4"/>
        <v>44</v>
      </c>
      <c r="B54" s="290" t="str">
        <f>IF(基本情報入力シート!B83="","",基本情報入力シート!B83)</f>
        <v>1111111150</v>
      </c>
      <c r="C54" s="291" t="str">
        <f>IF(基本情報入力シート!L83="","",基本情報入力シート!L83)</f>
        <v>葛城市</v>
      </c>
      <c r="D54" s="291" t="str">
        <f>IF(基本情報入力シート!Q83="","",基本情報入力シート!Q83)</f>
        <v>奈良県</v>
      </c>
      <c r="E54" s="291" t="str">
        <f>IF(基本情報入力シート!V83="","",基本情報入力シート!V83)</f>
        <v>葛城市</v>
      </c>
      <c r="F54" s="291" t="str">
        <f>IF(基本情報入力シート!W83="","",基本情報入力シート!W83)</f>
        <v>○○ホームヘルプ</v>
      </c>
      <c r="G54" s="291" t="str">
        <f>IF(基本情報入力シート!X83="","",基本情報入力シート!X83)</f>
        <v>訪問型サービス（独自／定額）</v>
      </c>
      <c r="H54" s="284" t="str">
        <f>IF(基本情報入力シート!Z83="","",基本情報入力シート!Z83)</f>
        <v>A4</v>
      </c>
      <c r="I54" s="285" t="str">
        <f>IF(基本情報入力シート!AE83&lt;&gt;"", 基本情報入力シート!AE83, "")</f>
        <v>○</v>
      </c>
      <c r="J54" s="54">
        <f>IF(基本情報入力シート!AA83="","",基本情報入力シート!AA83)</f>
        <v>1000000</v>
      </c>
      <c r="K54" s="57" t="str">
        <f>IF(基本情報入力シート!AD83="","",基本情報入力シート!AD83)</f>
        <v>数式を削除して手入力</v>
      </c>
      <c r="L54" s="56">
        <f>IF(G54="","",VLOOKUP(G54,【参考】数式用!$A$3:$C$46,3,FALSE))</f>
        <v>0.105</v>
      </c>
      <c r="M54" s="292" t="str">
        <f t="shared" si="5"/>
        <v>単価未入力</v>
      </c>
      <c r="N54" s="259" t="s">
        <v>2653</v>
      </c>
      <c r="O54" s="260"/>
      <c r="P54" s="260"/>
      <c r="Q54" s="213"/>
      <c r="R54" s="59"/>
      <c r="S54" s="1124" t="str">
        <f t="shared" si="6"/>
        <v/>
      </c>
      <c r="T54" s="1124"/>
      <c r="U54" s="1124"/>
      <c r="V54" s="1124"/>
      <c r="W54" s="1124"/>
      <c r="X54" s="1124"/>
      <c r="Y54" s="1124"/>
      <c r="Z54" s="1124"/>
      <c r="AA54" s="1124"/>
      <c r="AB54" s="1124"/>
      <c r="AC54" s="1124"/>
      <c r="AE54" s="618" t="str">
        <f t="shared" si="7"/>
        <v>色付け</v>
      </c>
      <c r="AF54" s="300" t="str">
        <f t="shared" si="8"/>
        <v>○</v>
      </c>
      <c r="AG54" s="287" t="e">
        <f>D54&amp;I54&amp;#REF!</f>
        <v>#REF!</v>
      </c>
      <c r="AH54" s="288" t="e">
        <f>IF(#REF!="○", F54, "")</f>
        <v>#REF!</v>
      </c>
    </row>
    <row r="55" spans="1:34" ht="36.75" customHeight="1">
      <c r="A55" s="289">
        <f t="shared" si="4"/>
        <v>45</v>
      </c>
      <c r="B55" s="290" t="str">
        <f>IF(基本情報入力シート!B84="","",基本情報入力シート!B84)</f>
        <v>1111111151</v>
      </c>
      <c r="C55" s="291" t="str">
        <f>IF(基本情報入力シート!L84="","",基本情報入力シート!L84)</f>
        <v>宇陀市</v>
      </c>
      <c r="D55" s="291" t="str">
        <f>IF(基本情報入力シート!Q84="","",基本情報入力シート!Q84)</f>
        <v>奈良県</v>
      </c>
      <c r="E55" s="291" t="str">
        <f>IF(基本情報入力シート!V84="","",基本情報入力シート!V84)</f>
        <v>宇陀市</v>
      </c>
      <c r="F55" s="291" t="str">
        <f>IF(基本情報入力シート!W84="","",基本情報入力シート!W84)</f>
        <v>○○デイケア</v>
      </c>
      <c r="G55" s="291" t="str">
        <f>IF(基本情報入力シート!X84="","",基本情報入力シート!X84)</f>
        <v>通所型サービス（独自）</v>
      </c>
      <c r="H55" s="284" t="str">
        <f>IF(基本情報入力シート!Z84="","",基本情報入力シート!Z84)</f>
        <v>A6</v>
      </c>
      <c r="I55" s="285" t="str">
        <f>IF(基本情報入力シート!AE84&lt;&gt;"", 基本情報入力シート!AE84, "")</f>
        <v>○</v>
      </c>
      <c r="J55" s="54">
        <f>IF(基本情報入力シート!AA84="","",基本情報入力シート!AA84)</f>
        <v>1000000</v>
      </c>
      <c r="K55" s="57" t="str">
        <f>IF(基本情報入力シート!AD84="","",基本情報入力シート!AD84)</f>
        <v>数式を削除して手入力</v>
      </c>
      <c r="L55" s="56">
        <f>IF(G55="","",VLOOKUP(G55,【参考】数式用!$A$3:$C$46,3,FALSE))</f>
        <v>6.4000000000000001E-2</v>
      </c>
      <c r="M55" s="292" t="str">
        <f t="shared" si="5"/>
        <v>単価未入力</v>
      </c>
      <c r="N55" s="259" t="s">
        <v>2653</v>
      </c>
      <c r="O55" s="260"/>
      <c r="P55" s="260"/>
      <c r="Q55" s="213"/>
      <c r="R55" s="59"/>
      <c r="S55" s="1124" t="str">
        <f t="shared" si="6"/>
        <v/>
      </c>
      <c r="T55" s="1124"/>
      <c r="U55" s="1124"/>
      <c r="V55" s="1124"/>
      <c r="W55" s="1124"/>
      <c r="X55" s="1124"/>
      <c r="Y55" s="1124"/>
      <c r="Z55" s="1124"/>
      <c r="AA55" s="1124"/>
      <c r="AB55" s="1124"/>
      <c r="AC55" s="1124"/>
      <c r="AE55" s="618" t="str">
        <f t="shared" si="7"/>
        <v>色付け</v>
      </c>
      <c r="AF55" s="300" t="str">
        <f t="shared" si="8"/>
        <v>○</v>
      </c>
      <c r="AG55" s="287" t="e">
        <f>D55&amp;I55&amp;#REF!</f>
        <v>#REF!</v>
      </c>
      <c r="AH55" s="288" t="e">
        <f>IF(#REF!="○", F55, "")</f>
        <v>#REF!</v>
      </c>
    </row>
    <row r="56" spans="1:34" ht="36.75" customHeight="1">
      <c r="A56" s="289">
        <f t="shared" si="4"/>
        <v>46</v>
      </c>
      <c r="B56" s="290" t="str">
        <f>IF(基本情報入力シート!B85="","",基本情報入力シート!B85)</f>
        <v>1111111152</v>
      </c>
      <c r="C56" s="291" t="str">
        <f>IF(基本情報入力シート!L85="","",基本情報入力シート!L85)</f>
        <v>宇陀市</v>
      </c>
      <c r="D56" s="291" t="str">
        <f>IF(基本情報入力シート!Q85="","",基本情報入力シート!Q85)</f>
        <v>奈良県</v>
      </c>
      <c r="E56" s="291" t="str">
        <f>IF(基本情報入力シート!V85="","",基本情報入力シート!V85)</f>
        <v>宇陀市</v>
      </c>
      <c r="F56" s="291" t="str">
        <f>IF(基本情報入力シート!W85="","",基本情報入力シート!W85)</f>
        <v>○○デイケア</v>
      </c>
      <c r="G56" s="291" t="str">
        <f>IF(基本情報入力シート!X85="","",基本情報入力シート!X85)</f>
        <v>通所型サービス（独自／定率）</v>
      </c>
      <c r="H56" s="284" t="str">
        <f>IF(基本情報入力シート!Z85="","",基本情報入力シート!Z85)</f>
        <v>A7</v>
      </c>
      <c r="I56" s="285" t="str">
        <f>IF(基本情報入力シート!AE85&lt;&gt;"", 基本情報入力シート!AE85, "")</f>
        <v>○</v>
      </c>
      <c r="J56" s="54">
        <f>IF(基本情報入力シート!AA85="","",基本情報入力シート!AA85)</f>
        <v>1000000</v>
      </c>
      <c r="K56" s="57" t="str">
        <f>IF(基本情報入力シート!AD85="","",基本情報入力シート!AD85)</f>
        <v>数式を削除して手入力</v>
      </c>
      <c r="L56" s="56">
        <f>IF(G56="","",VLOOKUP(G56,【参考】数式用!$A$3:$C$46,3,FALSE))</f>
        <v>6.4000000000000001E-2</v>
      </c>
      <c r="M56" s="292" t="str">
        <f t="shared" si="5"/>
        <v>単価未入力</v>
      </c>
      <c r="N56" s="259" t="s">
        <v>2653</v>
      </c>
      <c r="O56" s="260"/>
      <c r="P56" s="260"/>
      <c r="Q56" s="213"/>
      <c r="R56" s="59"/>
      <c r="S56" s="1124" t="str">
        <f t="shared" si="6"/>
        <v/>
      </c>
      <c r="T56" s="1124"/>
      <c r="U56" s="1124"/>
      <c r="V56" s="1124"/>
      <c r="W56" s="1124"/>
      <c r="X56" s="1124"/>
      <c r="Y56" s="1124"/>
      <c r="Z56" s="1124"/>
      <c r="AA56" s="1124"/>
      <c r="AB56" s="1124"/>
      <c r="AC56" s="1124"/>
      <c r="AE56" s="618" t="str">
        <f t="shared" si="7"/>
        <v>色付け</v>
      </c>
      <c r="AF56" s="300" t="str">
        <f t="shared" si="8"/>
        <v>○</v>
      </c>
      <c r="AG56" s="287" t="e">
        <f>D56&amp;I56&amp;#REF!</f>
        <v>#REF!</v>
      </c>
      <c r="AH56" s="288" t="e">
        <f>IF(#REF!="○", F56, "")</f>
        <v>#REF!</v>
      </c>
    </row>
    <row r="57" spans="1:34" ht="36.75" customHeight="1">
      <c r="A57" s="289">
        <f t="shared" si="4"/>
        <v>47</v>
      </c>
      <c r="B57" s="290" t="str">
        <f>IF(基本情報入力シート!B86="","",基本情報入力シート!B86)</f>
        <v>1111111153</v>
      </c>
      <c r="C57" s="291" t="str">
        <f>IF(基本情報入力シート!L86="","",基本情報入力シート!L86)</f>
        <v>宇陀市</v>
      </c>
      <c r="D57" s="291" t="str">
        <f>IF(基本情報入力シート!Q86="","",基本情報入力シート!Q86)</f>
        <v>奈良県</v>
      </c>
      <c r="E57" s="291" t="str">
        <f>IF(基本情報入力シート!V86="","",基本情報入力シート!V86)</f>
        <v>宇陀市</v>
      </c>
      <c r="F57" s="291" t="str">
        <f>IF(基本情報入力シート!W86="","",基本情報入力シート!W86)</f>
        <v>○○デイケア</v>
      </c>
      <c r="G57" s="291" t="str">
        <f>IF(基本情報入力シート!X86="","",基本情報入力シート!X86)</f>
        <v>通所型サービス（独自／定額）</v>
      </c>
      <c r="H57" s="284" t="str">
        <f>IF(基本情報入力シート!Z86="","",基本情報入力シート!Z86)</f>
        <v>A8</v>
      </c>
      <c r="I57" s="285" t="str">
        <f>IF(基本情報入力シート!AE86&lt;&gt;"", 基本情報入力シート!AE86, "")</f>
        <v>○</v>
      </c>
      <c r="J57" s="54">
        <f>IF(基本情報入力シート!AA86="","",基本情報入力シート!AA86)</f>
        <v>1000000</v>
      </c>
      <c r="K57" s="57" t="str">
        <f>IF(基本情報入力シート!AD86="","",基本情報入力シート!AD86)</f>
        <v>数式を削除して手入力</v>
      </c>
      <c r="L57" s="56">
        <f>IF(G57="","",VLOOKUP(G57,【参考】数式用!$A$3:$C$46,3,FALSE))</f>
        <v>6.4000000000000001E-2</v>
      </c>
      <c r="M57" s="292" t="str">
        <f t="shared" si="5"/>
        <v>単価未入力</v>
      </c>
      <c r="N57" s="259" t="s">
        <v>2653</v>
      </c>
      <c r="O57" s="260"/>
      <c r="P57" s="260"/>
      <c r="Q57" s="213"/>
      <c r="R57" s="59"/>
      <c r="S57" s="1124" t="str">
        <f t="shared" si="6"/>
        <v/>
      </c>
      <c r="T57" s="1124"/>
      <c r="U57" s="1124"/>
      <c r="V57" s="1124"/>
      <c r="W57" s="1124"/>
      <c r="X57" s="1124"/>
      <c r="Y57" s="1124"/>
      <c r="Z57" s="1124"/>
      <c r="AA57" s="1124"/>
      <c r="AB57" s="1124"/>
      <c r="AC57" s="1124"/>
      <c r="AE57" s="618" t="str">
        <f t="shared" si="7"/>
        <v>色付け</v>
      </c>
      <c r="AF57" s="300" t="str">
        <f t="shared" si="8"/>
        <v>○</v>
      </c>
      <c r="AG57" s="287" t="e">
        <f>D57&amp;I57&amp;#REF!</f>
        <v>#REF!</v>
      </c>
      <c r="AH57" s="288" t="e">
        <f>IF(#REF!="○", F57, "")</f>
        <v>#REF!</v>
      </c>
    </row>
    <row r="58" spans="1:34" ht="36.75" hidden="1" customHeight="1">
      <c r="A58" s="289">
        <f t="shared" si="4"/>
        <v>48</v>
      </c>
      <c r="B58" s="290"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4" t="str">
        <f>IF(基本情報入力シート!Z87="","",基本情報入力シート!Z87)</f>
        <v/>
      </c>
      <c r="I58" s="285"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2" t="str">
        <f t="shared" si="5"/>
        <v/>
      </c>
      <c r="N58" s="261"/>
      <c r="O58" s="260"/>
      <c r="P58" s="260"/>
      <c r="Q58" s="213"/>
      <c r="R58" s="59"/>
      <c r="S58" s="1124" t="str">
        <f t="shared" si="6"/>
        <v/>
      </c>
      <c r="T58" s="1124"/>
      <c r="U58" s="1124"/>
      <c r="V58" s="1124"/>
      <c r="W58" s="1124"/>
      <c r="X58" s="1124"/>
      <c r="Y58" s="1124"/>
      <c r="Z58" s="1124"/>
      <c r="AA58" s="1124"/>
      <c r="AB58" s="1124"/>
      <c r="AC58" s="1124"/>
      <c r="AE58" s="618" t="str">
        <f t="shared" si="7"/>
        <v/>
      </c>
      <c r="AF58" s="300" t="str">
        <f t="shared" si="8"/>
        <v>×</v>
      </c>
      <c r="AG58" s="287" t="e">
        <f>D58&amp;I58&amp;#REF!</f>
        <v>#REF!</v>
      </c>
      <c r="AH58" s="288" t="e">
        <f>IF(#REF!="○", F58, "")</f>
        <v>#REF!</v>
      </c>
    </row>
    <row r="59" spans="1:34" ht="36.75" hidden="1" customHeight="1">
      <c r="A59" s="289">
        <f t="shared" si="4"/>
        <v>49</v>
      </c>
      <c r="B59" s="290"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4" t="str">
        <f>IF(基本情報入力シート!Z88="","",基本情報入力シート!Z88)</f>
        <v/>
      </c>
      <c r="I59" s="285"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2" t="str">
        <f t="shared" si="5"/>
        <v/>
      </c>
      <c r="N59" s="261"/>
      <c r="O59" s="260"/>
      <c r="P59" s="260"/>
      <c r="Q59" s="213"/>
      <c r="R59" s="59"/>
      <c r="S59" s="1124" t="str">
        <f t="shared" si="6"/>
        <v/>
      </c>
      <c r="T59" s="1124"/>
      <c r="U59" s="1124"/>
      <c r="V59" s="1124"/>
      <c r="W59" s="1124"/>
      <c r="X59" s="1124"/>
      <c r="Y59" s="1124"/>
      <c r="Z59" s="1124"/>
      <c r="AA59" s="1124"/>
      <c r="AB59" s="1124"/>
      <c r="AC59" s="1124"/>
      <c r="AE59" s="618" t="str">
        <f t="shared" si="7"/>
        <v/>
      </c>
      <c r="AF59" s="300" t="str">
        <f t="shared" si="8"/>
        <v>×</v>
      </c>
      <c r="AG59" s="287" t="e">
        <f>D59&amp;I59&amp;#REF!</f>
        <v>#REF!</v>
      </c>
      <c r="AH59" s="288" t="e">
        <f>IF(#REF!="○", F59, "")</f>
        <v>#REF!</v>
      </c>
    </row>
    <row r="60" spans="1:34" ht="36.75" hidden="1" customHeight="1">
      <c r="A60" s="289">
        <f t="shared" si="4"/>
        <v>50</v>
      </c>
      <c r="B60" s="290"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4" t="str">
        <f>IF(基本情報入力シート!Z89="","",基本情報入力シート!Z89)</f>
        <v/>
      </c>
      <c r="I60" s="285"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2" t="str">
        <f t="shared" si="5"/>
        <v/>
      </c>
      <c r="N60" s="261"/>
      <c r="O60" s="260"/>
      <c r="P60" s="260"/>
      <c r="Q60" s="213"/>
      <c r="R60" s="59"/>
      <c r="S60" s="1124" t="str">
        <f t="shared" si="6"/>
        <v/>
      </c>
      <c r="T60" s="1124"/>
      <c r="U60" s="1124"/>
      <c r="V60" s="1124"/>
      <c r="W60" s="1124"/>
      <c r="X60" s="1124"/>
      <c r="Y60" s="1124"/>
      <c r="Z60" s="1124"/>
      <c r="AA60" s="1124"/>
      <c r="AB60" s="1124"/>
      <c r="AC60" s="1124"/>
      <c r="AE60" s="618" t="str">
        <f t="shared" si="7"/>
        <v/>
      </c>
      <c r="AF60" s="300" t="str">
        <f t="shared" si="8"/>
        <v>×</v>
      </c>
      <c r="AG60" s="287" t="e">
        <f>D60&amp;I60&amp;#REF!</f>
        <v>#REF!</v>
      </c>
      <c r="AH60" s="288" t="e">
        <f>IF(#REF!="○", F60, "")</f>
        <v>#REF!</v>
      </c>
    </row>
    <row r="61" spans="1:34" ht="36.75" hidden="1" customHeight="1">
      <c r="A61" s="289">
        <f t="shared" si="4"/>
        <v>51</v>
      </c>
      <c r="B61" s="290"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4" t="str">
        <f>IF(基本情報入力シート!Z90="","",基本情報入力シート!Z90)</f>
        <v/>
      </c>
      <c r="I61" s="285"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2" t="str">
        <f t="shared" si="5"/>
        <v/>
      </c>
      <c r="N61" s="261"/>
      <c r="O61" s="260"/>
      <c r="P61" s="260"/>
      <c r="Q61" s="213"/>
      <c r="R61" s="59"/>
      <c r="S61" s="1124" t="str">
        <f t="shared" si="6"/>
        <v/>
      </c>
      <c r="T61" s="1124"/>
      <c r="U61" s="1124"/>
      <c r="V61" s="1124"/>
      <c r="W61" s="1124"/>
      <c r="X61" s="1124"/>
      <c r="Y61" s="1124"/>
      <c r="Z61" s="1124"/>
      <c r="AA61" s="1124"/>
      <c r="AB61" s="1124"/>
      <c r="AC61" s="1124"/>
      <c r="AE61" s="618" t="str">
        <f t="shared" si="7"/>
        <v/>
      </c>
      <c r="AF61" s="300" t="str">
        <f t="shared" si="8"/>
        <v>×</v>
      </c>
      <c r="AG61" s="287" t="e">
        <f>D61&amp;I61&amp;#REF!</f>
        <v>#REF!</v>
      </c>
      <c r="AH61" s="288" t="e">
        <f>IF(#REF!="○", F61, "")</f>
        <v>#REF!</v>
      </c>
    </row>
    <row r="62" spans="1:34" ht="36.75" hidden="1" customHeight="1">
      <c r="A62" s="289">
        <f t="shared" si="4"/>
        <v>52</v>
      </c>
      <c r="B62" s="290"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4" t="str">
        <f>IF(基本情報入力シート!Z91="","",基本情報入力シート!Z91)</f>
        <v/>
      </c>
      <c r="I62" s="285"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2" t="str">
        <f t="shared" si="5"/>
        <v/>
      </c>
      <c r="N62" s="261"/>
      <c r="O62" s="260"/>
      <c r="P62" s="260"/>
      <c r="Q62" s="213"/>
      <c r="R62" s="59"/>
      <c r="S62" s="1124" t="str">
        <f t="shared" si="6"/>
        <v/>
      </c>
      <c r="T62" s="1124"/>
      <c r="U62" s="1124"/>
      <c r="V62" s="1124"/>
      <c r="W62" s="1124"/>
      <c r="X62" s="1124"/>
      <c r="Y62" s="1124"/>
      <c r="Z62" s="1124"/>
      <c r="AA62" s="1124"/>
      <c r="AB62" s="1124"/>
      <c r="AC62" s="1124"/>
      <c r="AE62" s="618" t="str">
        <f t="shared" si="7"/>
        <v/>
      </c>
      <c r="AF62" s="300" t="str">
        <f t="shared" si="8"/>
        <v>×</v>
      </c>
      <c r="AG62" s="287" t="e">
        <f>D62&amp;I62&amp;#REF!</f>
        <v>#REF!</v>
      </c>
      <c r="AH62" s="288" t="e">
        <f>IF(#REF!="○", F62, "")</f>
        <v>#REF!</v>
      </c>
    </row>
    <row r="63" spans="1:34" ht="36.75" hidden="1" customHeight="1">
      <c r="A63" s="289">
        <f t="shared" si="4"/>
        <v>53</v>
      </c>
      <c r="B63" s="290"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4" t="str">
        <f>IF(基本情報入力シート!Z92="","",基本情報入力シート!Z92)</f>
        <v/>
      </c>
      <c r="I63" s="285"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2" t="str">
        <f t="shared" si="5"/>
        <v/>
      </c>
      <c r="N63" s="261"/>
      <c r="O63" s="260"/>
      <c r="P63" s="260"/>
      <c r="Q63" s="213"/>
      <c r="R63" s="59"/>
      <c r="S63" s="1124" t="str">
        <f t="shared" si="6"/>
        <v/>
      </c>
      <c r="T63" s="1124"/>
      <c r="U63" s="1124"/>
      <c r="V63" s="1124"/>
      <c r="W63" s="1124"/>
      <c r="X63" s="1124"/>
      <c r="Y63" s="1124"/>
      <c r="Z63" s="1124"/>
      <c r="AA63" s="1124"/>
      <c r="AB63" s="1124"/>
      <c r="AC63" s="1124"/>
      <c r="AE63" s="618" t="str">
        <f t="shared" si="7"/>
        <v/>
      </c>
      <c r="AF63" s="300" t="str">
        <f t="shared" si="8"/>
        <v>×</v>
      </c>
      <c r="AG63" s="287" t="e">
        <f>D63&amp;I63&amp;#REF!</f>
        <v>#REF!</v>
      </c>
      <c r="AH63" s="288" t="e">
        <f>IF(#REF!="○", F63, "")</f>
        <v>#REF!</v>
      </c>
    </row>
    <row r="64" spans="1:34" ht="36.75" hidden="1" customHeight="1">
      <c r="A64" s="289">
        <f t="shared" si="4"/>
        <v>54</v>
      </c>
      <c r="B64" s="290"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4" t="str">
        <f>IF(基本情報入力シート!Z93="","",基本情報入力シート!Z93)</f>
        <v/>
      </c>
      <c r="I64" s="285"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2" t="str">
        <f t="shared" si="5"/>
        <v/>
      </c>
      <c r="N64" s="261"/>
      <c r="O64" s="260"/>
      <c r="P64" s="260"/>
      <c r="Q64" s="213"/>
      <c r="R64" s="59"/>
      <c r="S64" s="1124" t="str">
        <f t="shared" si="6"/>
        <v/>
      </c>
      <c r="T64" s="1124"/>
      <c r="U64" s="1124"/>
      <c r="V64" s="1124"/>
      <c r="W64" s="1124"/>
      <c r="X64" s="1124"/>
      <c r="Y64" s="1124"/>
      <c r="Z64" s="1124"/>
      <c r="AA64" s="1124"/>
      <c r="AB64" s="1124"/>
      <c r="AC64" s="1124"/>
      <c r="AE64" s="618" t="str">
        <f t="shared" si="7"/>
        <v/>
      </c>
      <c r="AF64" s="300" t="str">
        <f t="shared" si="8"/>
        <v>×</v>
      </c>
      <c r="AG64" s="287" t="e">
        <f>D64&amp;I64&amp;#REF!</f>
        <v>#REF!</v>
      </c>
      <c r="AH64" s="288" t="e">
        <f>IF(#REF!="○", F64, "")</f>
        <v>#REF!</v>
      </c>
    </row>
    <row r="65" spans="1:34" ht="36.75" hidden="1" customHeight="1">
      <c r="A65" s="289">
        <f t="shared" si="4"/>
        <v>55</v>
      </c>
      <c r="B65" s="290"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4" t="str">
        <f>IF(基本情報入力シート!Z94="","",基本情報入力シート!Z94)</f>
        <v/>
      </c>
      <c r="I65" s="285"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2" t="str">
        <f t="shared" si="5"/>
        <v/>
      </c>
      <c r="N65" s="261"/>
      <c r="O65" s="260"/>
      <c r="P65" s="260"/>
      <c r="Q65" s="213"/>
      <c r="R65" s="59"/>
      <c r="S65" s="1124" t="str">
        <f t="shared" si="6"/>
        <v/>
      </c>
      <c r="T65" s="1124"/>
      <c r="U65" s="1124"/>
      <c r="V65" s="1124"/>
      <c r="W65" s="1124"/>
      <c r="X65" s="1124"/>
      <c r="Y65" s="1124"/>
      <c r="Z65" s="1124"/>
      <c r="AA65" s="1124"/>
      <c r="AB65" s="1124"/>
      <c r="AC65" s="1124"/>
      <c r="AE65" s="618" t="str">
        <f t="shared" si="7"/>
        <v/>
      </c>
      <c r="AF65" s="300" t="str">
        <f t="shared" si="8"/>
        <v>×</v>
      </c>
      <c r="AG65" s="287" t="e">
        <f>D65&amp;I65&amp;#REF!</f>
        <v>#REF!</v>
      </c>
      <c r="AH65" s="288" t="e">
        <f>IF(#REF!="○", F65, "")</f>
        <v>#REF!</v>
      </c>
    </row>
    <row r="66" spans="1:34" ht="36.75" hidden="1" customHeight="1">
      <c r="A66" s="289">
        <f t="shared" si="4"/>
        <v>56</v>
      </c>
      <c r="B66" s="290"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4" t="str">
        <f>IF(基本情報入力シート!Z95="","",基本情報入力シート!Z95)</f>
        <v/>
      </c>
      <c r="I66" s="285"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2" t="str">
        <f t="shared" si="5"/>
        <v/>
      </c>
      <c r="N66" s="261"/>
      <c r="O66" s="260"/>
      <c r="P66" s="260"/>
      <c r="Q66" s="213"/>
      <c r="R66" s="59"/>
      <c r="S66" s="1124" t="str">
        <f t="shared" si="6"/>
        <v/>
      </c>
      <c r="T66" s="1124"/>
      <c r="U66" s="1124"/>
      <c r="V66" s="1124"/>
      <c r="W66" s="1124"/>
      <c r="X66" s="1124"/>
      <c r="Y66" s="1124"/>
      <c r="Z66" s="1124"/>
      <c r="AA66" s="1124"/>
      <c r="AB66" s="1124"/>
      <c r="AC66" s="1124"/>
      <c r="AE66" s="618" t="str">
        <f t="shared" si="7"/>
        <v/>
      </c>
      <c r="AF66" s="300" t="str">
        <f t="shared" si="8"/>
        <v>×</v>
      </c>
      <c r="AG66" s="287" t="e">
        <f>D66&amp;I66&amp;#REF!</f>
        <v>#REF!</v>
      </c>
      <c r="AH66" s="288" t="e">
        <f>IF(#REF!="○", F66, "")</f>
        <v>#REF!</v>
      </c>
    </row>
    <row r="67" spans="1:34" ht="36.75" hidden="1" customHeight="1">
      <c r="A67" s="289">
        <f t="shared" si="4"/>
        <v>57</v>
      </c>
      <c r="B67" s="290"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4" t="str">
        <f>IF(基本情報入力シート!Z96="","",基本情報入力シート!Z96)</f>
        <v/>
      </c>
      <c r="I67" s="285"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2" t="str">
        <f t="shared" si="5"/>
        <v/>
      </c>
      <c r="N67" s="261"/>
      <c r="O67" s="260"/>
      <c r="P67" s="260"/>
      <c r="Q67" s="213"/>
      <c r="R67" s="59"/>
      <c r="S67" s="1124" t="str">
        <f t="shared" si="6"/>
        <v/>
      </c>
      <c r="T67" s="1124"/>
      <c r="U67" s="1124"/>
      <c r="V67" s="1124"/>
      <c r="W67" s="1124"/>
      <c r="X67" s="1124"/>
      <c r="Y67" s="1124"/>
      <c r="Z67" s="1124"/>
      <c r="AA67" s="1124"/>
      <c r="AB67" s="1124"/>
      <c r="AC67" s="1124"/>
      <c r="AE67" s="618" t="str">
        <f t="shared" si="7"/>
        <v/>
      </c>
      <c r="AF67" s="300" t="str">
        <f t="shared" si="8"/>
        <v>×</v>
      </c>
      <c r="AG67" s="287" t="e">
        <f>D67&amp;I67&amp;#REF!</f>
        <v>#REF!</v>
      </c>
      <c r="AH67" s="288" t="e">
        <f>IF(#REF!="○", F67, "")</f>
        <v>#REF!</v>
      </c>
    </row>
    <row r="68" spans="1:34" ht="36.75" hidden="1" customHeight="1">
      <c r="A68" s="289">
        <f t="shared" si="4"/>
        <v>58</v>
      </c>
      <c r="B68" s="290"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4" t="str">
        <f>IF(基本情報入力シート!Z97="","",基本情報入力シート!Z97)</f>
        <v/>
      </c>
      <c r="I68" s="285"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2" t="str">
        <f t="shared" si="5"/>
        <v/>
      </c>
      <c r="N68" s="261"/>
      <c r="O68" s="260"/>
      <c r="P68" s="260"/>
      <c r="Q68" s="213"/>
      <c r="R68" s="59"/>
      <c r="S68" s="1124" t="str">
        <f t="shared" si="6"/>
        <v/>
      </c>
      <c r="T68" s="1124"/>
      <c r="U68" s="1124"/>
      <c r="V68" s="1124"/>
      <c r="W68" s="1124"/>
      <c r="X68" s="1124"/>
      <c r="Y68" s="1124"/>
      <c r="Z68" s="1124"/>
      <c r="AA68" s="1124"/>
      <c r="AB68" s="1124"/>
      <c r="AC68" s="1124"/>
      <c r="AE68" s="618" t="str">
        <f t="shared" si="7"/>
        <v/>
      </c>
      <c r="AF68" s="300" t="str">
        <f t="shared" si="8"/>
        <v>×</v>
      </c>
      <c r="AG68" s="287" t="e">
        <f>D68&amp;I68&amp;#REF!</f>
        <v>#REF!</v>
      </c>
      <c r="AH68" s="288" t="e">
        <f>IF(#REF!="○", F68, "")</f>
        <v>#REF!</v>
      </c>
    </row>
    <row r="69" spans="1:34" ht="36.75" hidden="1" customHeight="1">
      <c r="A69" s="289">
        <f t="shared" si="4"/>
        <v>59</v>
      </c>
      <c r="B69" s="290"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4" t="str">
        <f>IF(基本情報入力シート!Z98="","",基本情報入力シート!Z98)</f>
        <v/>
      </c>
      <c r="I69" s="285"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2" t="str">
        <f t="shared" si="5"/>
        <v/>
      </c>
      <c r="N69" s="261"/>
      <c r="O69" s="260"/>
      <c r="P69" s="260"/>
      <c r="Q69" s="213"/>
      <c r="R69" s="59"/>
      <c r="S69" s="1124" t="str">
        <f t="shared" si="6"/>
        <v/>
      </c>
      <c r="T69" s="1124"/>
      <c r="U69" s="1124"/>
      <c r="V69" s="1124"/>
      <c r="W69" s="1124"/>
      <c r="X69" s="1124"/>
      <c r="Y69" s="1124"/>
      <c r="Z69" s="1124"/>
      <c r="AA69" s="1124"/>
      <c r="AB69" s="1124"/>
      <c r="AC69" s="1124"/>
      <c r="AE69" s="618" t="str">
        <f t="shared" si="7"/>
        <v/>
      </c>
      <c r="AF69" s="300" t="str">
        <f t="shared" si="8"/>
        <v>×</v>
      </c>
      <c r="AG69" s="287" t="e">
        <f>D69&amp;I69&amp;#REF!</f>
        <v>#REF!</v>
      </c>
      <c r="AH69" s="288" t="e">
        <f>IF(#REF!="○", F69, "")</f>
        <v>#REF!</v>
      </c>
    </row>
    <row r="70" spans="1:34" ht="36.75" hidden="1" customHeight="1">
      <c r="A70" s="289">
        <f t="shared" si="4"/>
        <v>60</v>
      </c>
      <c r="B70" s="290"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4" t="str">
        <f>IF(基本情報入力シート!Z99="","",基本情報入力シート!Z99)</f>
        <v/>
      </c>
      <c r="I70" s="285"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2" t="str">
        <f t="shared" si="5"/>
        <v/>
      </c>
      <c r="N70" s="261"/>
      <c r="O70" s="260"/>
      <c r="P70" s="260"/>
      <c r="Q70" s="213"/>
      <c r="R70" s="59"/>
      <c r="S70" s="1124" t="str">
        <f t="shared" si="6"/>
        <v/>
      </c>
      <c r="T70" s="1124"/>
      <c r="U70" s="1124"/>
      <c r="V70" s="1124"/>
      <c r="W70" s="1124"/>
      <c r="X70" s="1124"/>
      <c r="Y70" s="1124"/>
      <c r="Z70" s="1124"/>
      <c r="AA70" s="1124"/>
      <c r="AB70" s="1124"/>
      <c r="AC70" s="1124"/>
      <c r="AE70" s="618" t="str">
        <f t="shared" si="7"/>
        <v/>
      </c>
      <c r="AF70" s="300" t="str">
        <f t="shared" si="8"/>
        <v>×</v>
      </c>
      <c r="AG70" s="287" t="e">
        <f>D70&amp;I70&amp;#REF!</f>
        <v>#REF!</v>
      </c>
      <c r="AH70" s="288" t="e">
        <f>IF(#REF!="○", F70, "")</f>
        <v>#REF!</v>
      </c>
    </row>
    <row r="71" spans="1:34" ht="36.75" hidden="1" customHeight="1">
      <c r="A71" s="289">
        <f t="shared" si="4"/>
        <v>61</v>
      </c>
      <c r="B71" s="290"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4" t="str">
        <f>IF(基本情報入力シート!Z100="","",基本情報入力シート!Z100)</f>
        <v/>
      </c>
      <c r="I71" s="285"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2" t="str">
        <f t="shared" si="5"/>
        <v/>
      </c>
      <c r="N71" s="261"/>
      <c r="O71" s="260"/>
      <c r="P71" s="260"/>
      <c r="Q71" s="213"/>
      <c r="R71" s="59"/>
      <c r="S71" s="1124" t="str">
        <f t="shared" si="6"/>
        <v/>
      </c>
      <c r="T71" s="1124"/>
      <c r="U71" s="1124"/>
      <c r="V71" s="1124"/>
      <c r="W71" s="1124"/>
      <c r="X71" s="1124"/>
      <c r="Y71" s="1124"/>
      <c r="Z71" s="1124"/>
      <c r="AA71" s="1124"/>
      <c r="AB71" s="1124"/>
      <c r="AC71" s="1124"/>
      <c r="AE71" s="618" t="str">
        <f t="shared" si="7"/>
        <v/>
      </c>
      <c r="AF71" s="300" t="str">
        <f t="shared" si="8"/>
        <v>×</v>
      </c>
      <c r="AG71" s="287" t="e">
        <f>D71&amp;I71&amp;#REF!</f>
        <v>#REF!</v>
      </c>
      <c r="AH71" s="288" t="e">
        <f>IF(#REF!="○", F71, "")</f>
        <v>#REF!</v>
      </c>
    </row>
    <row r="72" spans="1:34" ht="36.75" hidden="1" customHeight="1">
      <c r="A72" s="289">
        <f t="shared" si="4"/>
        <v>62</v>
      </c>
      <c r="B72" s="290"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4" t="str">
        <f>IF(基本情報入力シート!Z101="","",基本情報入力シート!Z101)</f>
        <v/>
      </c>
      <c r="I72" s="285"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2" t="str">
        <f t="shared" si="5"/>
        <v/>
      </c>
      <c r="N72" s="261"/>
      <c r="O72" s="260"/>
      <c r="P72" s="260"/>
      <c r="Q72" s="213"/>
      <c r="R72" s="59"/>
      <c r="S72" s="1124" t="str">
        <f t="shared" si="6"/>
        <v/>
      </c>
      <c r="T72" s="1124"/>
      <c r="U72" s="1124"/>
      <c r="V72" s="1124"/>
      <c r="W72" s="1124"/>
      <c r="X72" s="1124"/>
      <c r="Y72" s="1124"/>
      <c r="Z72" s="1124"/>
      <c r="AA72" s="1124"/>
      <c r="AB72" s="1124"/>
      <c r="AC72" s="1124"/>
      <c r="AE72" s="618" t="str">
        <f t="shared" si="7"/>
        <v/>
      </c>
      <c r="AF72" s="300" t="str">
        <f t="shared" si="8"/>
        <v>×</v>
      </c>
      <c r="AG72" s="287" t="e">
        <f>D72&amp;I72&amp;#REF!</f>
        <v>#REF!</v>
      </c>
      <c r="AH72" s="288" t="e">
        <f>IF(#REF!="○", F72, "")</f>
        <v>#REF!</v>
      </c>
    </row>
    <row r="73" spans="1:34" ht="36.75" hidden="1" customHeight="1">
      <c r="A73" s="289">
        <f t="shared" si="4"/>
        <v>63</v>
      </c>
      <c r="B73" s="290"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4" t="str">
        <f>IF(基本情報入力シート!Z102="","",基本情報入力シート!Z102)</f>
        <v/>
      </c>
      <c r="I73" s="285"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2" t="str">
        <f t="shared" si="5"/>
        <v/>
      </c>
      <c r="N73" s="261"/>
      <c r="O73" s="260"/>
      <c r="P73" s="260"/>
      <c r="Q73" s="213"/>
      <c r="R73" s="59"/>
      <c r="S73" s="1124" t="str">
        <f t="shared" si="6"/>
        <v/>
      </c>
      <c r="T73" s="1124"/>
      <c r="U73" s="1124"/>
      <c r="V73" s="1124"/>
      <c r="W73" s="1124"/>
      <c r="X73" s="1124"/>
      <c r="Y73" s="1124"/>
      <c r="Z73" s="1124"/>
      <c r="AA73" s="1124"/>
      <c r="AB73" s="1124"/>
      <c r="AC73" s="1124"/>
      <c r="AE73" s="618" t="str">
        <f t="shared" si="7"/>
        <v/>
      </c>
      <c r="AF73" s="300" t="str">
        <f t="shared" si="8"/>
        <v>×</v>
      </c>
      <c r="AG73" s="287" t="e">
        <f>D73&amp;I73&amp;#REF!</f>
        <v>#REF!</v>
      </c>
      <c r="AH73" s="288" t="e">
        <f>IF(#REF!="○", F73, "")</f>
        <v>#REF!</v>
      </c>
    </row>
    <row r="74" spans="1:34" ht="36.75" hidden="1" customHeight="1">
      <c r="A74" s="289">
        <f t="shared" si="4"/>
        <v>64</v>
      </c>
      <c r="B74" s="290"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4" t="str">
        <f>IF(基本情報入力シート!Z103="","",基本情報入力シート!Z103)</f>
        <v/>
      </c>
      <c r="I74" s="285"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2" t="str">
        <f t="shared" si="5"/>
        <v/>
      </c>
      <c r="N74" s="261"/>
      <c r="O74" s="260"/>
      <c r="P74" s="260"/>
      <c r="Q74" s="213"/>
      <c r="R74" s="59"/>
      <c r="S74" s="1124" t="str">
        <f t="shared" si="6"/>
        <v/>
      </c>
      <c r="T74" s="1124"/>
      <c r="U74" s="1124"/>
      <c r="V74" s="1124"/>
      <c r="W74" s="1124"/>
      <c r="X74" s="1124"/>
      <c r="Y74" s="1124"/>
      <c r="Z74" s="1124"/>
      <c r="AA74" s="1124"/>
      <c r="AB74" s="1124"/>
      <c r="AC74" s="1124"/>
      <c r="AE74" s="618" t="str">
        <f t="shared" si="7"/>
        <v/>
      </c>
      <c r="AF74" s="300" t="str">
        <f t="shared" si="8"/>
        <v>×</v>
      </c>
      <c r="AG74" s="287" t="e">
        <f>D74&amp;I74&amp;#REF!</f>
        <v>#REF!</v>
      </c>
      <c r="AH74" s="288" t="e">
        <f>IF(#REF!="○", F74, "")</f>
        <v>#REF!</v>
      </c>
    </row>
    <row r="75" spans="1:34" ht="36.75" hidden="1" customHeight="1">
      <c r="A75" s="289">
        <f t="shared" si="4"/>
        <v>65</v>
      </c>
      <c r="B75" s="290"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4" t="str">
        <f>IF(基本情報入力シート!Z104="","",基本情報入力シート!Z104)</f>
        <v/>
      </c>
      <c r="I75" s="285"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2" t="str">
        <f t="shared" ref="M75:M106" si="9">IFERROR(IF(I75="○",ROUNDDOWN(ROUNDDOWN(J75*K75,0)*L75,0),""), "単価未入力")</f>
        <v/>
      </c>
      <c r="N75" s="261"/>
      <c r="O75" s="260"/>
      <c r="P75" s="260"/>
      <c r="Q75" s="213"/>
      <c r="R75" s="59"/>
      <c r="S75" s="1124" t="str">
        <f t="shared" ref="S75:S110" si="10">IF(AND(M75&lt;&gt;"",AF75="×"),"！複数の交付対象月を選んでいる、交付対象月が選ばれていない又は補助金を申請予定でないのに交付対象月が選ばれています。", "")</f>
        <v/>
      </c>
      <c r="T75" s="1124"/>
      <c r="U75" s="1124"/>
      <c r="V75" s="1124"/>
      <c r="W75" s="1124"/>
      <c r="X75" s="1124"/>
      <c r="Y75" s="1124"/>
      <c r="Z75" s="1124"/>
      <c r="AA75" s="1124"/>
      <c r="AB75" s="1124"/>
      <c r="AC75" s="1124"/>
      <c r="AE75" s="618" t="str">
        <f t="shared" ref="AE75:AE110" si="11">IF(AND(G75&lt;&gt;"",I75="○"), "色付け", "")</f>
        <v/>
      </c>
      <c r="AF75" s="300" t="str">
        <f t="shared" ref="AF75:AF110" si="12">IF(COUNTIF(N75:Q75, "○")=1, "○", "×")</f>
        <v>×</v>
      </c>
      <c r="AG75" s="287" t="e">
        <f>D75&amp;I75&amp;#REF!</f>
        <v>#REF!</v>
      </c>
      <c r="AH75" s="288" t="e">
        <f>IF(#REF!="○", F75, "")</f>
        <v>#REF!</v>
      </c>
    </row>
    <row r="76" spans="1:34" ht="36.75" hidden="1" customHeight="1">
      <c r="A76" s="289">
        <f t="shared" si="4"/>
        <v>66</v>
      </c>
      <c r="B76" s="290"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4" t="str">
        <f>IF(基本情報入力シート!Z105="","",基本情報入力シート!Z105)</f>
        <v/>
      </c>
      <c r="I76" s="285"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2" t="str">
        <f t="shared" si="9"/>
        <v/>
      </c>
      <c r="N76" s="261"/>
      <c r="O76" s="260"/>
      <c r="P76" s="260"/>
      <c r="Q76" s="213"/>
      <c r="R76" s="59"/>
      <c r="S76" s="1124" t="str">
        <f t="shared" si="10"/>
        <v/>
      </c>
      <c r="T76" s="1124"/>
      <c r="U76" s="1124"/>
      <c r="V76" s="1124"/>
      <c r="W76" s="1124"/>
      <c r="X76" s="1124"/>
      <c r="Y76" s="1124"/>
      <c r="Z76" s="1124"/>
      <c r="AA76" s="1124"/>
      <c r="AB76" s="1124"/>
      <c r="AC76" s="1124"/>
      <c r="AE76" s="618" t="str">
        <f t="shared" si="11"/>
        <v/>
      </c>
      <c r="AF76" s="300" t="str">
        <f t="shared" si="12"/>
        <v>×</v>
      </c>
      <c r="AG76" s="287" t="e">
        <f>D76&amp;I76&amp;#REF!</f>
        <v>#REF!</v>
      </c>
      <c r="AH76" s="288" t="e">
        <f>IF(#REF!="○", F76, "")</f>
        <v>#REF!</v>
      </c>
    </row>
    <row r="77" spans="1:34" ht="36.75" hidden="1" customHeight="1">
      <c r="A77" s="289">
        <f t="shared" ref="A77:A110" si="13">A76+1</f>
        <v>67</v>
      </c>
      <c r="B77" s="290"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4" t="str">
        <f>IF(基本情報入力シート!Z106="","",基本情報入力シート!Z106)</f>
        <v/>
      </c>
      <c r="I77" s="285"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2" t="str">
        <f t="shared" si="9"/>
        <v/>
      </c>
      <c r="N77" s="261"/>
      <c r="O77" s="260"/>
      <c r="P77" s="260"/>
      <c r="Q77" s="213"/>
      <c r="R77" s="59"/>
      <c r="S77" s="1124" t="str">
        <f t="shared" si="10"/>
        <v/>
      </c>
      <c r="T77" s="1124"/>
      <c r="U77" s="1124"/>
      <c r="V77" s="1124"/>
      <c r="W77" s="1124"/>
      <c r="X77" s="1124"/>
      <c r="Y77" s="1124"/>
      <c r="Z77" s="1124"/>
      <c r="AA77" s="1124"/>
      <c r="AB77" s="1124"/>
      <c r="AC77" s="1124"/>
      <c r="AE77" s="618" t="str">
        <f t="shared" si="11"/>
        <v/>
      </c>
      <c r="AF77" s="300" t="str">
        <f t="shared" si="12"/>
        <v>×</v>
      </c>
      <c r="AG77" s="287" t="e">
        <f>D77&amp;I77&amp;#REF!</f>
        <v>#REF!</v>
      </c>
      <c r="AH77" s="288" t="e">
        <f>IF(#REF!="○", F77, "")</f>
        <v>#REF!</v>
      </c>
    </row>
    <row r="78" spans="1:34" ht="36.75" hidden="1" customHeight="1">
      <c r="A78" s="289">
        <f t="shared" si="13"/>
        <v>68</v>
      </c>
      <c r="B78" s="290"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4" t="str">
        <f>IF(基本情報入力シート!Z107="","",基本情報入力シート!Z107)</f>
        <v/>
      </c>
      <c r="I78" s="285"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2" t="str">
        <f t="shared" si="9"/>
        <v/>
      </c>
      <c r="N78" s="261"/>
      <c r="O78" s="260"/>
      <c r="P78" s="260"/>
      <c r="Q78" s="213"/>
      <c r="R78" s="59"/>
      <c r="S78" s="1124" t="str">
        <f t="shared" si="10"/>
        <v/>
      </c>
      <c r="T78" s="1124"/>
      <c r="U78" s="1124"/>
      <c r="V78" s="1124"/>
      <c r="W78" s="1124"/>
      <c r="X78" s="1124"/>
      <c r="Y78" s="1124"/>
      <c r="Z78" s="1124"/>
      <c r="AA78" s="1124"/>
      <c r="AB78" s="1124"/>
      <c r="AC78" s="1124"/>
      <c r="AE78" s="618" t="str">
        <f t="shared" si="11"/>
        <v/>
      </c>
      <c r="AF78" s="300" t="str">
        <f t="shared" si="12"/>
        <v>×</v>
      </c>
      <c r="AG78" s="287" t="e">
        <f>D78&amp;I78&amp;#REF!</f>
        <v>#REF!</v>
      </c>
      <c r="AH78" s="288" t="e">
        <f>IF(#REF!="○", F78, "")</f>
        <v>#REF!</v>
      </c>
    </row>
    <row r="79" spans="1:34" ht="36.75" hidden="1" customHeight="1">
      <c r="A79" s="289">
        <f t="shared" si="13"/>
        <v>69</v>
      </c>
      <c r="B79" s="290"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4" t="str">
        <f>IF(基本情報入力シート!Z108="","",基本情報入力シート!Z108)</f>
        <v/>
      </c>
      <c r="I79" s="285"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2" t="str">
        <f t="shared" si="9"/>
        <v/>
      </c>
      <c r="N79" s="261"/>
      <c r="O79" s="260"/>
      <c r="P79" s="260"/>
      <c r="Q79" s="213"/>
      <c r="R79" s="59"/>
      <c r="S79" s="1124" t="str">
        <f t="shared" si="10"/>
        <v/>
      </c>
      <c r="T79" s="1124"/>
      <c r="U79" s="1124"/>
      <c r="V79" s="1124"/>
      <c r="W79" s="1124"/>
      <c r="X79" s="1124"/>
      <c r="Y79" s="1124"/>
      <c r="Z79" s="1124"/>
      <c r="AA79" s="1124"/>
      <c r="AB79" s="1124"/>
      <c r="AC79" s="1124"/>
      <c r="AE79" s="618" t="str">
        <f t="shared" si="11"/>
        <v/>
      </c>
      <c r="AF79" s="300" t="str">
        <f t="shared" si="12"/>
        <v>×</v>
      </c>
      <c r="AG79" s="287" t="e">
        <f>D79&amp;I79&amp;#REF!</f>
        <v>#REF!</v>
      </c>
      <c r="AH79" s="288" t="e">
        <f>IF(#REF!="○", F79, "")</f>
        <v>#REF!</v>
      </c>
    </row>
    <row r="80" spans="1:34" ht="36.75" hidden="1" customHeight="1">
      <c r="A80" s="289">
        <f t="shared" si="13"/>
        <v>70</v>
      </c>
      <c r="B80" s="290"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4" t="str">
        <f>IF(基本情報入力シート!Z109="","",基本情報入力シート!Z109)</f>
        <v/>
      </c>
      <c r="I80" s="285"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2" t="str">
        <f t="shared" si="9"/>
        <v/>
      </c>
      <c r="N80" s="261"/>
      <c r="O80" s="260"/>
      <c r="P80" s="260"/>
      <c r="Q80" s="213"/>
      <c r="R80" s="59"/>
      <c r="S80" s="1124" t="str">
        <f t="shared" si="10"/>
        <v/>
      </c>
      <c r="T80" s="1124"/>
      <c r="U80" s="1124"/>
      <c r="V80" s="1124"/>
      <c r="W80" s="1124"/>
      <c r="X80" s="1124"/>
      <c r="Y80" s="1124"/>
      <c r="Z80" s="1124"/>
      <c r="AA80" s="1124"/>
      <c r="AB80" s="1124"/>
      <c r="AC80" s="1124"/>
      <c r="AE80" s="618" t="str">
        <f t="shared" si="11"/>
        <v/>
      </c>
      <c r="AF80" s="300" t="str">
        <f t="shared" si="12"/>
        <v>×</v>
      </c>
      <c r="AG80" s="287" t="e">
        <f>D80&amp;I80&amp;#REF!</f>
        <v>#REF!</v>
      </c>
      <c r="AH80" s="288" t="e">
        <f>IF(#REF!="○", F80, "")</f>
        <v>#REF!</v>
      </c>
    </row>
    <row r="81" spans="1:34" ht="36.75" hidden="1" customHeight="1">
      <c r="A81" s="289">
        <f t="shared" si="13"/>
        <v>71</v>
      </c>
      <c r="B81" s="290"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4" t="str">
        <f>IF(基本情報入力シート!Z110="","",基本情報入力シート!Z110)</f>
        <v/>
      </c>
      <c r="I81" s="285"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2" t="str">
        <f t="shared" si="9"/>
        <v/>
      </c>
      <c r="N81" s="261"/>
      <c r="O81" s="260"/>
      <c r="P81" s="260"/>
      <c r="Q81" s="213"/>
      <c r="R81" s="59"/>
      <c r="S81" s="1124" t="str">
        <f t="shared" si="10"/>
        <v/>
      </c>
      <c r="T81" s="1124"/>
      <c r="U81" s="1124"/>
      <c r="V81" s="1124"/>
      <c r="W81" s="1124"/>
      <c r="X81" s="1124"/>
      <c r="Y81" s="1124"/>
      <c r="Z81" s="1124"/>
      <c r="AA81" s="1124"/>
      <c r="AB81" s="1124"/>
      <c r="AC81" s="1124"/>
      <c r="AE81" s="618" t="str">
        <f t="shared" si="11"/>
        <v/>
      </c>
      <c r="AF81" s="300" t="str">
        <f t="shared" si="12"/>
        <v>×</v>
      </c>
      <c r="AG81" s="287" t="e">
        <f>D81&amp;I81&amp;#REF!</f>
        <v>#REF!</v>
      </c>
      <c r="AH81" s="288" t="e">
        <f>IF(#REF!="○", F81, "")</f>
        <v>#REF!</v>
      </c>
    </row>
    <row r="82" spans="1:34" ht="36.75" hidden="1" customHeight="1">
      <c r="A82" s="289">
        <f t="shared" si="13"/>
        <v>72</v>
      </c>
      <c r="B82" s="290"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4" t="str">
        <f>IF(基本情報入力シート!Z111="","",基本情報入力シート!Z111)</f>
        <v/>
      </c>
      <c r="I82" s="285"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2" t="str">
        <f t="shared" si="9"/>
        <v/>
      </c>
      <c r="N82" s="261"/>
      <c r="O82" s="260"/>
      <c r="P82" s="260"/>
      <c r="Q82" s="213"/>
      <c r="R82" s="59"/>
      <c r="S82" s="1124" t="str">
        <f t="shared" si="10"/>
        <v/>
      </c>
      <c r="T82" s="1124"/>
      <c r="U82" s="1124"/>
      <c r="V82" s="1124"/>
      <c r="W82" s="1124"/>
      <c r="X82" s="1124"/>
      <c r="Y82" s="1124"/>
      <c r="Z82" s="1124"/>
      <c r="AA82" s="1124"/>
      <c r="AB82" s="1124"/>
      <c r="AC82" s="1124"/>
      <c r="AE82" s="618" t="str">
        <f t="shared" si="11"/>
        <v/>
      </c>
      <c r="AF82" s="300" t="str">
        <f t="shared" si="12"/>
        <v>×</v>
      </c>
      <c r="AG82" s="287" t="e">
        <f>D82&amp;I82&amp;#REF!</f>
        <v>#REF!</v>
      </c>
      <c r="AH82" s="288" t="e">
        <f>IF(#REF!="○", F82, "")</f>
        <v>#REF!</v>
      </c>
    </row>
    <row r="83" spans="1:34" ht="36.75" hidden="1" customHeight="1">
      <c r="A83" s="289">
        <f t="shared" si="13"/>
        <v>73</v>
      </c>
      <c r="B83" s="290"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4" t="str">
        <f>IF(基本情報入力シート!Z112="","",基本情報入力シート!Z112)</f>
        <v/>
      </c>
      <c r="I83" s="285"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2" t="str">
        <f t="shared" si="9"/>
        <v/>
      </c>
      <c r="N83" s="261"/>
      <c r="O83" s="260"/>
      <c r="P83" s="260"/>
      <c r="Q83" s="213"/>
      <c r="R83" s="59"/>
      <c r="S83" s="1124" t="str">
        <f t="shared" si="10"/>
        <v/>
      </c>
      <c r="T83" s="1124"/>
      <c r="U83" s="1124"/>
      <c r="V83" s="1124"/>
      <c r="W83" s="1124"/>
      <c r="X83" s="1124"/>
      <c r="Y83" s="1124"/>
      <c r="Z83" s="1124"/>
      <c r="AA83" s="1124"/>
      <c r="AB83" s="1124"/>
      <c r="AC83" s="1124"/>
      <c r="AE83" s="618" t="str">
        <f t="shared" si="11"/>
        <v/>
      </c>
      <c r="AF83" s="300" t="str">
        <f t="shared" si="12"/>
        <v>×</v>
      </c>
      <c r="AG83" s="287" t="e">
        <f>D83&amp;I83&amp;#REF!</f>
        <v>#REF!</v>
      </c>
      <c r="AH83" s="288" t="e">
        <f>IF(#REF!="○", F83, "")</f>
        <v>#REF!</v>
      </c>
    </row>
    <row r="84" spans="1:34" ht="36.75" hidden="1" customHeight="1">
      <c r="A84" s="289">
        <f t="shared" si="13"/>
        <v>74</v>
      </c>
      <c r="B84" s="290"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4" t="str">
        <f>IF(基本情報入力シート!Z113="","",基本情報入力シート!Z113)</f>
        <v/>
      </c>
      <c r="I84" s="285"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2" t="str">
        <f t="shared" si="9"/>
        <v/>
      </c>
      <c r="N84" s="261"/>
      <c r="O84" s="260"/>
      <c r="P84" s="260"/>
      <c r="Q84" s="213"/>
      <c r="R84" s="59"/>
      <c r="S84" s="1124" t="str">
        <f t="shared" si="10"/>
        <v/>
      </c>
      <c r="T84" s="1124"/>
      <c r="U84" s="1124"/>
      <c r="V84" s="1124"/>
      <c r="W84" s="1124"/>
      <c r="X84" s="1124"/>
      <c r="Y84" s="1124"/>
      <c r="Z84" s="1124"/>
      <c r="AA84" s="1124"/>
      <c r="AB84" s="1124"/>
      <c r="AC84" s="1124"/>
      <c r="AE84" s="618" t="str">
        <f t="shared" si="11"/>
        <v/>
      </c>
      <c r="AF84" s="300" t="str">
        <f t="shared" si="12"/>
        <v>×</v>
      </c>
      <c r="AG84" s="287" t="e">
        <f>D84&amp;I84&amp;#REF!</f>
        <v>#REF!</v>
      </c>
      <c r="AH84" s="288" t="e">
        <f>IF(#REF!="○", F84, "")</f>
        <v>#REF!</v>
      </c>
    </row>
    <row r="85" spans="1:34" ht="36.75" hidden="1" customHeight="1">
      <c r="A85" s="289">
        <f t="shared" si="13"/>
        <v>75</v>
      </c>
      <c r="B85" s="290"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4" t="str">
        <f>IF(基本情報入力シート!Z114="","",基本情報入力シート!Z114)</f>
        <v/>
      </c>
      <c r="I85" s="285"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2" t="str">
        <f t="shared" si="9"/>
        <v/>
      </c>
      <c r="N85" s="261"/>
      <c r="O85" s="260"/>
      <c r="P85" s="260"/>
      <c r="Q85" s="213"/>
      <c r="R85" s="59"/>
      <c r="S85" s="1124" t="str">
        <f t="shared" si="10"/>
        <v/>
      </c>
      <c r="T85" s="1124"/>
      <c r="U85" s="1124"/>
      <c r="V85" s="1124"/>
      <c r="W85" s="1124"/>
      <c r="X85" s="1124"/>
      <c r="Y85" s="1124"/>
      <c r="Z85" s="1124"/>
      <c r="AA85" s="1124"/>
      <c r="AB85" s="1124"/>
      <c r="AC85" s="1124"/>
      <c r="AE85" s="618" t="str">
        <f t="shared" si="11"/>
        <v/>
      </c>
      <c r="AF85" s="300" t="str">
        <f t="shared" si="12"/>
        <v>×</v>
      </c>
      <c r="AG85" s="287" t="e">
        <f>D85&amp;I85&amp;#REF!</f>
        <v>#REF!</v>
      </c>
      <c r="AH85" s="288" t="e">
        <f>IF(#REF!="○", F85, "")</f>
        <v>#REF!</v>
      </c>
    </row>
    <row r="86" spans="1:34" ht="36.75" hidden="1" customHeight="1">
      <c r="A86" s="289">
        <f t="shared" si="13"/>
        <v>76</v>
      </c>
      <c r="B86" s="290"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4" t="str">
        <f>IF(基本情報入力シート!Z115="","",基本情報入力シート!Z115)</f>
        <v/>
      </c>
      <c r="I86" s="285"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2" t="str">
        <f t="shared" si="9"/>
        <v/>
      </c>
      <c r="N86" s="261"/>
      <c r="O86" s="260"/>
      <c r="P86" s="260"/>
      <c r="Q86" s="213"/>
      <c r="R86" s="59"/>
      <c r="S86" s="1124" t="str">
        <f t="shared" si="10"/>
        <v/>
      </c>
      <c r="T86" s="1124"/>
      <c r="U86" s="1124"/>
      <c r="V86" s="1124"/>
      <c r="W86" s="1124"/>
      <c r="X86" s="1124"/>
      <c r="Y86" s="1124"/>
      <c r="Z86" s="1124"/>
      <c r="AA86" s="1124"/>
      <c r="AB86" s="1124"/>
      <c r="AC86" s="1124"/>
      <c r="AE86" s="618" t="str">
        <f t="shared" si="11"/>
        <v/>
      </c>
      <c r="AF86" s="300" t="str">
        <f t="shared" si="12"/>
        <v>×</v>
      </c>
      <c r="AG86" s="287" t="e">
        <f>D86&amp;I86&amp;#REF!</f>
        <v>#REF!</v>
      </c>
      <c r="AH86" s="288" t="e">
        <f>IF(#REF!="○", F86, "")</f>
        <v>#REF!</v>
      </c>
    </row>
    <row r="87" spans="1:34" ht="36.75" hidden="1" customHeight="1">
      <c r="A87" s="289">
        <f t="shared" si="13"/>
        <v>77</v>
      </c>
      <c r="B87" s="290"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4" t="str">
        <f>IF(基本情報入力シート!Z116="","",基本情報入力シート!Z116)</f>
        <v/>
      </c>
      <c r="I87" s="285"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2" t="str">
        <f t="shared" si="9"/>
        <v/>
      </c>
      <c r="N87" s="261"/>
      <c r="O87" s="260"/>
      <c r="P87" s="260"/>
      <c r="Q87" s="213"/>
      <c r="R87" s="59"/>
      <c r="S87" s="1124" t="str">
        <f t="shared" si="10"/>
        <v/>
      </c>
      <c r="T87" s="1124"/>
      <c r="U87" s="1124"/>
      <c r="V87" s="1124"/>
      <c r="W87" s="1124"/>
      <c r="X87" s="1124"/>
      <c r="Y87" s="1124"/>
      <c r="Z87" s="1124"/>
      <c r="AA87" s="1124"/>
      <c r="AB87" s="1124"/>
      <c r="AC87" s="1124"/>
      <c r="AE87" s="618" t="str">
        <f t="shared" si="11"/>
        <v/>
      </c>
      <c r="AF87" s="300" t="str">
        <f t="shared" si="12"/>
        <v>×</v>
      </c>
      <c r="AG87" s="287" t="e">
        <f>D87&amp;I87&amp;#REF!</f>
        <v>#REF!</v>
      </c>
      <c r="AH87" s="288" t="e">
        <f>IF(#REF!="○", F87, "")</f>
        <v>#REF!</v>
      </c>
    </row>
    <row r="88" spans="1:34" ht="36.75" hidden="1" customHeight="1">
      <c r="A88" s="289">
        <f t="shared" si="13"/>
        <v>78</v>
      </c>
      <c r="B88" s="290"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4" t="str">
        <f>IF(基本情報入力シート!Z117="","",基本情報入力シート!Z117)</f>
        <v/>
      </c>
      <c r="I88" s="285"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2" t="str">
        <f t="shared" si="9"/>
        <v/>
      </c>
      <c r="N88" s="261"/>
      <c r="O88" s="260"/>
      <c r="P88" s="260"/>
      <c r="Q88" s="213"/>
      <c r="R88" s="59"/>
      <c r="S88" s="1124" t="str">
        <f t="shared" si="10"/>
        <v/>
      </c>
      <c r="T88" s="1124"/>
      <c r="U88" s="1124"/>
      <c r="V88" s="1124"/>
      <c r="W88" s="1124"/>
      <c r="X88" s="1124"/>
      <c r="Y88" s="1124"/>
      <c r="Z88" s="1124"/>
      <c r="AA88" s="1124"/>
      <c r="AB88" s="1124"/>
      <c r="AC88" s="1124"/>
      <c r="AE88" s="618" t="str">
        <f t="shared" si="11"/>
        <v/>
      </c>
      <c r="AF88" s="300" t="str">
        <f t="shared" si="12"/>
        <v>×</v>
      </c>
      <c r="AG88" s="287" t="e">
        <f>D88&amp;I88&amp;#REF!</f>
        <v>#REF!</v>
      </c>
      <c r="AH88" s="288" t="e">
        <f>IF(#REF!="○", F88, "")</f>
        <v>#REF!</v>
      </c>
    </row>
    <row r="89" spans="1:34" ht="36.75" hidden="1" customHeight="1">
      <c r="A89" s="289">
        <f t="shared" si="13"/>
        <v>79</v>
      </c>
      <c r="B89" s="290"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4" t="str">
        <f>IF(基本情報入力シート!Z118="","",基本情報入力シート!Z118)</f>
        <v/>
      </c>
      <c r="I89" s="285"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2" t="str">
        <f t="shared" si="9"/>
        <v/>
      </c>
      <c r="N89" s="261"/>
      <c r="O89" s="260"/>
      <c r="P89" s="260"/>
      <c r="Q89" s="213"/>
      <c r="R89" s="59"/>
      <c r="S89" s="1124" t="str">
        <f t="shared" si="10"/>
        <v/>
      </c>
      <c r="T89" s="1124"/>
      <c r="U89" s="1124"/>
      <c r="V89" s="1124"/>
      <c r="W89" s="1124"/>
      <c r="X89" s="1124"/>
      <c r="Y89" s="1124"/>
      <c r="Z89" s="1124"/>
      <c r="AA89" s="1124"/>
      <c r="AB89" s="1124"/>
      <c r="AC89" s="1124"/>
      <c r="AE89" s="618" t="str">
        <f t="shared" si="11"/>
        <v/>
      </c>
      <c r="AF89" s="300" t="str">
        <f t="shared" si="12"/>
        <v>×</v>
      </c>
      <c r="AG89" s="287" t="e">
        <f>D89&amp;I89&amp;#REF!</f>
        <v>#REF!</v>
      </c>
      <c r="AH89" s="288" t="e">
        <f>IF(#REF!="○", F89, "")</f>
        <v>#REF!</v>
      </c>
    </row>
    <row r="90" spans="1:34" ht="36.75" hidden="1" customHeight="1">
      <c r="A90" s="289">
        <f t="shared" si="13"/>
        <v>80</v>
      </c>
      <c r="B90" s="290"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4" t="str">
        <f>IF(基本情報入力シート!Z119="","",基本情報入力シート!Z119)</f>
        <v/>
      </c>
      <c r="I90" s="285"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2" t="str">
        <f t="shared" si="9"/>
        <v/>
      </c>
      <c r="N90" s="261"/>
      <c r="O90" s="260"/>
      <c r="P90" s="260"/>
      <c r="Q90" s="213"/>
      <c r="R90" s="59"/>
      <c r="S90" s="1124" t="str">
        <f t="shared" si="10"/>
        <v/>
      </c>
      <c r="T90" s="1124"/>
      <c r="U90" s="1124"/>
      <c r="V90" s="1124"/>
      <c r="W90" s="1124"/>
      <c r="X90" s="1124"/>
      <c r="Y90" s="1124"/>
      <c r="Z90" s="1124"/>
      <c r="AA90" s="1124"/>
      <c r="AB90" s="1124"/>
      <c r="AC90" s="1124"/>
      <c r="AE90" s="618" t="str">
        <f t="shared" si="11"/>
        <v/>
      </c>
      <c r="AF90" s="300" t="str">
        <f t="shared" si="12"/>
        <v>×</v>
      </c>
      <c r="AG90" s="287" t="e">
        <f>D90&amp;I90&amp;#REF!</f>
        <v>#REF!</v>
      </c>
      <c r="AH90" s="288" t="e">
        <f>IF(#REF!="○", F90, "")</f>
        <v>#REF!</v>
      </c>
    </row>
    <row r="91" spans="1:34" ht="36.75" hidden="1" customHeight="1">
      <c r="A91" s="289">
        <f t="shared" si="13"/>
        <v>81</v>
      </c>
      <c r="B91" s="290"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4" t="str">
        <f>IF(基本情報入力シート!Z120="","",基本情報入力シート!Z120)</f>
        <v/>
      </c>
      <c r="I91" s="285"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2" t="str">
        <f t="shared" si="9"/>
        <v/>
      </c>
      <c r="N91" s="261"/>
      <c r="O91" s="260"/>
      <c r="P91" s="260"/>
      <c r="Q91" s="213"/>
      <c r="R91" s="59"/>
      <c r="S91" s="1124" t="str">
        <f t="shared" si="10"/>
        <v/>
      </c>
      <c r="T91" s="1124"/>
      <c r="U91" s="1124"/>
      <c r="V91" s="1124"/>
      <c r="W91" s="1124"/>
      <c r="X91" s="1124"/>
      <c r="Y91" s="1124"/>
      <c r="Z91" s="1124"/>
      <c r="AA91" s="1124"/>
      <c r="AB91" s="1124"/>
      <c r="AC91" s="1124"/>
      <c r="AE91" s="618" t="str">
        <f t="shared" si="11"/>
        <v/>
      </c>
      <c r="AF91" s="300" t="str">
        <f t="shared" si="12"/>
        <v>×</v>
      </c>
      <c r="AG91" s="287" t="e">
        <f>D91&amp;I91&amp;#REF!</f>
        <v>#REF!</v>
      </c>
      <c r="AH91" s="288" t="e">
        <f>IF(#REF!="○", F91, "")</f>
        <v>#REF!</v>
      </c>
    </row>
    <row r="92" spans="1:34" ht="36.75" hidden="1" customHeight="1">
      <c r="A92" s="289">
        <f t="shared" si="13"/>
        <v>82</v>
      </c>
      <c r="B92" s="290"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4" t="str">
        <f>IF(基本情報入力シート!Z121="","",基本情報入力シート!Z121)</f>
        <v/>
      </c>
      <c r="I92" s="285"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2" t="str">
        <f t="shared" si="9"/>
        <v/>
      </c>
      <c r="N92" s="261"/>
      <c r="O92" s="260"/>
      <c r="P92" s="260"/>
      <c r="Q92" s="213"/>
      <c r="R92" s="59"/>
      <c r="S92" s="1124" t="str">
        <f t="shared" si="10"/>
        <v/>
      </c>
      <c r="T92" s="1124"/>
      <c r="U92" s="1124"/>
      <c r="V92" s="1124"/>
      <c r="W92" s="1124"/>
      <c r="X92" s="1124"/>
      <c r="Y92" s="1124"/>
      <c r="Z92" s="1124"/>
      <c r="AA92" s="1124"/>
      <c r="AB92" s="1124"/>
      <c r="AC92" s="1124"/>
      <c r="AE92" s="618" t="str">
        <f t="shared" si="11"/>
        <v/>
      </c>
      <c r="AF92" s="300" t="str">
        <f t="shared" si="12"/>
        <v>×</v>
      </c>
      <c r="AG92" s="287" t="e">
        <f>D92&amp;I92&amp;#REF!</f>
        <v>#REF!</v>
      </c>
      <c r="AH92" s="288" t="e">
        <f>IF(#REF!="○", F92, "")</f>
        <v>#REF!</v>
      </c>
    </row>
    <row r="93" spans="1:34" ht="36.75" hidden="1" customHeight="1">
      <c r="A93" s="289">
        <f t="shared" si="13"/>
        <v>83</v>
      </c>
      <c r="B93" s="290"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4" t="str">
        <f>IF(基本情報入力シート!Z122="","",基本情報入力シート!Z122)</f>
        <v/>
      </c>
      <c r="I93" s="285"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2" t="str">
        <f t="shared" si="9"/>
        <v/>
      </c>
      <c r="N93" s="261"/>
      <c r="O93" s="260"/>
      <c r="P93" s="260"/>
      <c r="Q93" s="213"/>
      <c r="R93" s="59"/>
      <c r="S93" s="1124" t="str">
        <f t="shared" si="10"/>
        <v/>
      </c>
      <c r="T93" s="1124"/>
      <c r="U93" s="1124"/>
      <c r="V93" s="1124"/>
      <c r="W93" s="1124"/>
      <c r="X93" s="1124"/>
      <c r="Y93" s="1124"/>
      <c r="Z93" s="1124"/>
      <c r="AA93" s="1124"/>
      <c r="AB93" s="1124"/>
      <c r="AC93" s="1124"/>
      <c r="AE93" s="618" t="str">
        <f t="shared" si="11"/>
        <v/>
      </c>
      <c r="AF93" s="300" t="str">
        <f t="shared" si="12"/>
        <v>×</v>
      </c>
      <c r="AG93" s="287" t="e">
        <f>D93&amp;I93&amp;#REF!</f>
        <v>#REF!</v>
      </c>
      <c r="AH93" s="288" t="e">
        <f>IF(#REF!="○", F93, "")</f>
        <v>#REF!</v>
      </c>
    </row>
    <row r="94" spans="1:34" ht="36.75" hidden="1" customHeight="1">
      <c r="A94" s="289">
        <f t="shared" si="13"/>
        <v>84</v>
      </c>
      <c r="B94" s="290"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4" t="str">
        <f>IF(基本情報入力シート!Z123="","",基本情報入力シート!Z123)</f>
        <v/>
      </c>
      <c r="I94" s="285"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2" t="str">
        <f t="shared" si="9"/>
        <v/>
      </c>
      <c r="N94" s="261"/>
      <c r="O94" s="260"/>
      <c r="P94" s="260"/>
      <c r="Q94" s="213"/>
      <c r="R94" s="59"/>
      <c r="S94" s="1124" t="str">
        <f t="shared" si="10"/>
        <v/>
      </c>
      <c r="T94" s="1124"/>
      <c r="U94" s="1124"/>
      <c r="V94" s="1124"/>
      <c r="W94" s="1124"/>
      <c r="X94" s="1124"/>
      <c r="Y94" s="1124"/>
      <c r="Z94" s="1124"/>
      <c r="AA94" s="1124"/>
      <c r="AB94" s="1124"/>
      <c r="AC94" s="1124"/>
      <c r="AE94" s="618" t="str">
        <f t="shared" si="11"/>
        <v/>
      </c>
      <c r="AF94" s="300" t="str">
        <f t="shared" si="12"/>
        <v>×</v>
      </c>
      <c r="AG94" s="287" t="e">
        <f>D94&amp;I94&amp;#REF!</f>
        <v>#REF!</v>
      </c>
      <c r="AH94" s="288" t="e">
        <f>IF(#REF!="○", F94, "")</f>
        <v>#REF!</v>
      </c>
    </row>
    <row r="95" spans="1:34" ht="36.75" hidden="1" customHeight="1">
      <c r="A95" s="289">
        <f t="shared" si="13"/>
        <v>85</v>
      </c>
      <c r="B95" s="290"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4" t="str">
        <f>IF(基本情報入力シート!Z124="","",基本情報入力シート!Z124)</f>
        <v/>
      </c>
      <c r="I95" s="285"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2" t="str">
        <f t="shared" si="9"/>
        <v/>
      </c>
      <c r="N95" s="261"/>
      <c r="O95" s="260"/>
      <c r="P95" s="260"/>
      <c r="Q95" s="213"/>
      <c r="R95" s="59"/>
      <c r="S95" s="1124" t="str">
        <f t="shared" si="10"/>
        <v/>
      </c>
      <c r="T95" s="1124"/>
      <c r="U95" s="1124"/>
      <c r="V95" s="1124"/>
      <c r="W95" s="1124"/>
      <c r="X95" s="1124"/>
      <c r="Y95" s="1124"/>
      <c r="Z95" s="1124"/>
      <c r="AA95" s="1124"/>
      <c r="AB95" s="1124"/>
      <c r="AC95" s="1124"/>
      <c r="AE95" s="618" t="str">
        <f t="shared" si="11"/>
        <v/>
      </c>
      <c r="AF95" s="300" t="str">
        <f t="shared" si="12"/>
        <v>×</v>
      </c>
      <c r="AG95" s="287" t="e">
        <f>D95&amp;I95&amp;#REF!</f>
        <v>#REF!</v>
      </c>
      <c r="AH95" s="288" t="e">
        <f>IF(#REF!="○", F95, "")</f>
        <v>#REF!</v>
      </c>
    </row>
    <row r="96" spans="1:34" ht="36.75" hidden="1" customHeight="1">
      <c r="A96" s="289">
        <f t="shared" si="13"/>
        <v>86</v>
      </c>
      <c r="B96" s="290"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4" t="str">
        <f>IF(基本情報入力シート!Z125="","",基本情報入力シート!Z125)</f>
        <v/>
      </c>
      <c r="I96" s="285"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2" t="str">
        <f t="shared" si="9"/>
        <v/>
      </c>
      <c r="N96" s="261"/>
      <c r="O96" s="260"/>
      <c r="P96" s="260"/>
      <c r="Q96" s="213"/>
      <c r="R96" s="59"/>
      <c r="S96" s="1124" t="str">
        <f t="shared" si="10"/>
        <v/>
      </c>
      <c r="T96" s="1124"/>
      <c r="U96" s="1124"/>
      <c r="V96" s="1124"/>
      <c r="W96" s="1124"/>
      <c r="X96" s="1124"/>
      <c r="Y96" s="1124"/>
      <c r="Z96" s="1124"/>
      <c r="AA96" s="1124"/>
      <c r="AB96" s="1124"/>
      <c r="AC96" s="1124"/>
      <c r="AE96" s="618" t="str">
        <f t="shared" si="11"/>
        <v/>
      </c>
      <c r="AF96" s="300" t="str">
        <f t="shared" si="12"/>
        <v>×</v>
      </c>
      <c r="AG96" s="287" t="e">
        <f>D96&amp;I96&amp;#REF!</f>
        <v>#REF!</v>
      </c>
      <c r="AH96" s="288" t="e">
        <f>IF(#REF!="○", F96, "")</f>
        <v>#REF!</v>
      </c>
    </row>
    <row r="97" spans="1:34" ht="36.75" hidden="1" customHeight="1">
      <c r="A97" s="289">
        <f t="shared" si="13"/>
        <v>87</v>
      </c>
      <c r="B97" s="290"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4" t="str">
        <f>IF(基本情報入力シート!Z126="","",基本情報入力シート!Z126)</f>
        <v/>
      </c>
      <c r="I97" s="285"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2" t="str">
        <f t="shared" si="9"/>
        <v/>
      </c>
      <c r="N97" s="261"/>
      <c r="O97" s="260"/>
      <c r="P97" s="260"/>
      <c r="Q97" s="213"/>
      <c r="R97" s="59"/>
      <c r="S97" s="1124" t="str">
        <f t="shared" si="10"/>
        <v/>
      </c>
      <c r="T97" s="1124"/>
      <c r="U97" s="1124"/>
      <c r="V97" s="1124"/>
      <c r="W97" s="1124"/>
      <c r="X97" s="1124"/>
      <c r="Y97" s="1124"/>
      <c r="Z97" s="1124"/>
      <c r="AA97" s="1124"/>
      <c r="AB97" s="1124"/>
      <c r="AC97" s="1124"/>
      <c r="AE97" s="618" t="str">
        <f t="shared" si="11"/>
        <v/>
      </c>
      <c r="AF97" s="300" t="str">
        <f t="shared" si="12"/>
        <v>×</v>
      </c>
      <c r="AG97" s="287" t="e">
        <f>D97&amp;I97&amp;#REF!</f>
        <v>#REF!</v>
      </c>
      <c r="AH97" s="288" t="e">
        <f>IF(#REF!="○", F97, "")</f>
        <v>#REF!</v>
      </c>
    </row>
    <row r="98" spans="1:34" ht="36.75" hidden="1" customHeight="1">
      <c r="A98" s="289">
        <f t="shared" si="13"/>
        <v>88</v>
      </c>
      <c r="B98" s="290"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4" t="str">
        <f>IF(基本情報入力シート!Z127="","",基本情報入力シート!Z127)</f>
        <v/>
      </c>
      <c r="I98" s="285"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2" t="str">
        <f t="shared" si="9"/>
        <v/>
      </c>
      <c r="N98" s="261"/>
      <c r="O98" s="260"/>
      <c r="P98" s="260"/>
      <c r="Q98" s="213"/>
      <c r="R98" s="59"/>
      <c r="S98" s="1124" t="str">
        <f t="shared" si="10"/>
        <v/>
      </c>
      <c r="T98" s="1124"/>
      <c r="U98" s="1124"/>
      <c r="V98" s="1124"/>
      <c r="W98" s="1124"/>
      <c r="X98" s="1124"/>
      <c r="Y98" s="1124"/>
      <c r="Z98" s="1124"/>
      <c r="AA98" s="1124"/>
      <c r="AB98" s="1124"/>
      <c r="AC98" s="1124"/>
      <c r="AE98" s="618" t="str">
        <f t="shared" si="11"/>
        <v/>
      </c>
      <c r="AF98" s="300" t="str">
        <f t="shared" si="12"/>
        <v>×</v>
      </c>
      <c r="AG98" s="287" t="e">
        <f>D98&amp;I98&amp;#REF!</f>
        <v>#REF!</v>
      </c>
      <c r="AH98" s="288" t="e">
        <f>IF(#REF!="○", F98, "")</f>
        <v>#REF!</v>
      </c>
    </row>
    <row r="99" spans="1:34" ht="36.75" hidden="1" customHeight="1">
      <c r="A99" s="289">
        <f t="shared" si="13"/>
        <v>89</v>
      </c>
      <c r="B99" s="290"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4" t="str">
        <f>IF(基本情報入力シート!Z128="","",基本情報入力シート!Z128)</f>
        <v/>
      </c>
      <c r="I99" s="285"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2" t="str">
        <f t="shared" si="9"/>
        <v/>
      </c>
      <c r="N99" s="261"/>
      <c r="O99" s="260"/>
      <c r="P99" s="260"/>
      <c r="Q99" s="213"/>
      <c r="R99" s="59"/>
      <c r="S99" s="1124" t="str">
        <f t="shared" si="10"/>
        <v/>
      </c>
      <c r="T99" s="1124"/>
      <c r="U99" s="1124"/>
      <c r="V99" s="1124"/>
      <c r="W99" s="1124"/>
      <c r="X99" s="1124"/>
      <c r="Y99" s="1124"/>
      <c r="Z99" s="1124"/>
      <c r="AA99" s="1124"/>
      <c r="AB99" s="1124"/>
      <c r="AC99" s="1124"/>
      <c r="AE99" s="618" t="str">
        <f t="shared" si="11"/>
        <v/>
      </c>
      <c r="AF99" s="300" t="str">
        <f t="shared" si="12"/>
        <v>×</v>
      </c>
      <c r="AG99" s="287" t="e">
        <f>D99&amp;I99&amp;#REF!</f>
        <v>#REF!</v>
      </c>
      <c r="AH99" s="288" t="e">
        <f>IF(#REF!="○", F99, "")</f>
        <v>#REF!</v>
      </c>
    </row>
    <row r="100" spans="1:34" ht="36.75" hidden="1" customHeight="1">
      <c r="A100" s="289">
        <f t="shared" si="13"/>
        <v>90</v>
      </c>
      <c r="B100" s="290"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4" t="str">
        <f>IF(基本情報入力シート!Z129="","",基本情報入力シート!Z129)</f>
        <v/>
      </c>
      <c r="I100" s="285"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2" t="str">
        <f t="shared" si="9"/>
        <v/>
      </c>
      <c r="N100" s="261"/>
      <c r="O100" s="260"/>
      <c r="P100" s="260"/>
      <c r="Q100" s="213"/>
      <c r="R100" s="59"/>
      <c r="S100" s="1124" t="str">
        <f t="shared" si="10"/>
        <v/>
      </c>
      <c r="T100" s="1124"/>
      <c r="U100" s="1124"/>
      <c r="V100" s="1124"/>
      <c r="W100" s="1124"/>
      <c r="X100" s="1124"/>
      <c r="Y100" s="1124"/>
      <c r="Z100" s="1124"/>
      <c r="AA100" s="1124"/>
      <c r="AB100" s="1124"/>
      <c r="AC100" s="1124"/>
      <c r="AE100" s="618" t="str">
        <f t="shared" si="11"/>
        <v/>
      </c>
      <c r="AF100" s="300" t="str">
        <f t="shared" si="12"/>
        <v>×</v>
      </c>
      <c r="AG100" s="287" t="e">
        <f>D100&amp;I100&amp;#REF!</f>
        <v>#REF!</v>
      </c>
      <c r="AH100" s="288" t="e">
        <f>IF(#REF!="○", F100, "")</f>
        <v>#REF!</v>
      </c>
    </row>
    <row r="101" spans="1:34" ht="36.75" hidden="1" customHeight="1">
      <c r="A101" s="289">
        <f t="shared" si="13"/>
        <v>91</v>
      </c>
      <c r="B101" s="290"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4" t="str">
        <f>IF(基本情報入力シート!Z130="","",基本情報入力シート!Z130)</f>
        <v/>
      </c>
      <c r="I101" s="285"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2" t="str">
        <f t="shared" si="9"/>
        <v/>
      </c>
      <c r="N101" s="261"/>
      <c r="O101" s="260"/>
      <c r="P101" s="260"/>
      <c r="Q101" s="213"/>
      <c r="R101" s="59"/>
      <c r="S101" s="1124" t="str">
        <f t="shared" si="10"/>
        <v/>
      </c>
      <c r="T101" s="1124"/>
      <c r="U101" s="1124"/>
      <c r="V101" s="1124"/>
      <c r="W101" s="1124"/>
      <c r="X101" s="1124"/>
      <c r="Y101" s="1124"/>
      <c r="Z101" s="1124"/>
      <c r="AA101" s="1124"/>
      <c r="AB101" s="1124"/>
      <c r="AC101" s="1124"/>
      <c r="AE101" s="618" t="str">
        <f t="shared" si="11"/>
        <v/>
      </c>
      <c r="AF101" s="300" t="str">
        <f t="shared" si="12"/>
        <v>×</v>
      </c>
      <c r="AG101" s="287" t="e">
        <f>D101&amp;I101&amp;#REF!</f>
        <v>#REF!</v>
      </c>
      <c r="AH101" s="288" t="e">
        <f>IF(#REF!="○", F101, "")</f>
        <v>#REF!</v>
      </c>
    </row>
    <row r="102" spans="1:34" ht="36.75" hidden="1" customHeight="1">
      <c r="A102" s="289">
        <f t="shared" si="13"/>
        <v>92</v>
      </c>
      <c r="B102" s="290"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4" t="str">
        <f>IF(基本情報入力シート!Z131="","",基本情報入力シート!Z131)</f>
        <v/>
      </c>
      <c r="I102" s="285"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2" t="str">
        <f t="shared" si="9"/>
        <v/>
      </c>
      <c r="N102" s="261"/>
      <c r="O102" s="260"/>
      <c r="P102" s="260"/>
      <c r="Q102" s="213"/>
      <c r="R102" s="59"/>
      <c r="S102" s="1124" t="str">
        <f t="shared" si="10"/>
        <v/>
      </c>
      <c r="T102" s="1124"/>
      <c r="U102" s="1124"/>
      <c r="V102" s="1124"/>
      <c r="W102" s="1124"/>
      <c r="X102" s="1124"/>
      <c r="Y102" s="1124"/>
      <c r="Z102" s="1124"/>
      <c r="AA102" s="1124"/>
      <c r="AB102" s="1124"/>
      <c r="AC102" s="1124"/>
      <c r="AE102" s="618" t="str">
        <f t="shared" si="11"/>
        <v/>
      </c>
      <c r="AF102" s="300" t="str">
        <f t="shared" si="12"/>
        <v>×</v>
      </c>
      <c r="AG102" s="287" t="e">
        <f>D102&amp;I102&amp;#REF!</f>
        <v>#REF!</v>
      </c>
      <c r="AH102" s="288" t="e">
        <f>IF(#REF!="○", F102, "")</f>
        <v>#REF!</v>
      </c>
    </row>
    <row r="103" spans="1:34" ht="36.75" hidden="1" customHeight="1">
      <c r="A103" s="289">
        <f t="shared" si="13"/>
        <v>93</v>
      </c>
      <c r="B103" s="290"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4" t="str">
        <f>IF(基本情報入力シート!Z132="","",基本情報入力シート!Z132)</f>
        <v/>
      </c>
      <c r="I103" s="285"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2" t="str">
        <f t="shared" si="9"/>
        <v/>
      </c>
      <c r="N103" s="261"/>
      <c r="O103" s="260"/>
      <c r="P103" s="260"/>
      <c r="Q103" s="213"/>
      <c r="R103" s="59"/>
      <c r="S103" s="1124" t="str">
        <f t="shared" si="10"/>
        <v/>
      </c>
      <c r="T103" s="1124"/>
      <c r="U103" s="1124"/>
      <c r="V103" s="1124"/>
      <c r="W103" s="1124"/>
      <c r="X103" s="1124"/>
      <c r="Y103" s="1124"/>
      <c r="Z103" s="1124"/>
      <c r="AA103" s="1124"/>
      <c r="AB103" s="1124"/>
      <c r="AC103" s="1124"/>
      <c r="AE103" s="618" t="str">
        <f t="shared" si="11"/>
        <v/>
      </c>
      <c r="AF103" s="300" t="str">
        <f t="shared" si="12"/>
        <v>×</v>
      </c>
      <c r="AG103" s="287" t="e">
        <f>D103&amp;I103&amp;#REF!</f>
        <v>#REF!</v>
      </c>
      <c r="AH103" s="288" t="e">
        <f>IF(#REF!="○", F103, "")</f>
        <v>#REF!</v>
      </c>
    </row>
    <row r="104" spans="1:34" ht="36.75" hidden="1" customHeight="1">
      <c r="A104" s="289">
        <f t="shared" si="13"/>
        <v>94</v>
      </c>
      <c r="B104" s="290"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4" t="str">
        <f>IF(基本情報入力シート!Z133="","",基本情報入力シート!Z133)</f>
        <v/>
      </c>
      <c r="I104" s="285"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2" t="str">
        <f t="shared" si="9"/>
        <v/>
      </c>
      <c r="N104" s="261"/>
      <c r="O104" s="260"/>
      <c r="P104" s="260"/>
      <c r="Q104" s="213"/>
      <c r="R104" s="59"/>
      <c r="S104" s="1124" t="str">
        <f t="shared" si="10"/>
        <v/>
      </c>
      <c r="T104" s="1124"/>
      <c r="U104" s="1124"/>
      <c r="V104" s="1124"/>
      <c r="W104" s="1124"/>
      <c r="X104" s="1124"/>
      <c r="Y104" s="1124"/>
      <c r="Z104" s="1124"/>
      <c r="AA104" s="1124"/>
      <c r="AB104" s="1124"/>
      <c r="AC104" s="1124"/>
      <c r="AE104" s="618" t="str">
        <f t="shared" si="11"/>
        <v/>
      </c>
      <c r="AF104" s="300" t="str">
        <f t="shared" si="12"/>
        <v>×</v>
      </c>
      <c r="AG104" s="287" t="e">
        <f>D104&amp;I104&amp;#REF!</f>
        <v>#REF!</v>
      </c>
      <c r="AH104" s="288" t="e">
        <f>IF(#REF!="○", F104, "")</f>
        <v>#REF!</v>
      </c>
    </row>
    <row r="105" spans="1:34" ht="36.75" hidden="1" customHeight="1">
      <c r="A105" s="289">
        <f t="shared" si="13"/>
        <v>95</v>
      </c>
      <c r="B105" s="290"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4" t="str">
        <f>IF(基本情報入力シート!Z134="","",基本情報入力シート!Z134)</f>
        <v/>
      </c>
      <c r="I105" s="285"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2" t="str">
        <f t="shared" si="9"/>
        <v/>
      </c>
      <c r="N105" s="261"/>
      <c r="O105" s="260"/>
      <c r="P105" s="260"/>
      <c r="Q105" s="213"/>
      <c r="R105" s="59"/>
      <c r="S105" s="1124" t="str">
        <f t="shared" si="10"/>
        <v/>
      </c>
      <c r="T105" s="1124"/>
      <c r="U105" s="1124"/>
      <c r="V105" s="1124"/>
      <c r="W105" s="1124"/>
      <c r="X105" s="1124"/>
      <c r="Y105" s="1124"/>
      <c r="Z105" s="1124"/>
      <c r="AA105" s="1124"/>
      <c r="AB105" s="1124"/>
      <c r="AC105" s="1124"/>
      <c r="AE105" s="618" t="str">
        <f t="shared" si="11"/>
        <v/>
      </c>
      <c r="AF105" s="300" t="str">
        <f t="shared" si="12"/>
        <v>×</v>
      </c>
      <c r="AG105" s="287" t="e">
        <f>D105&amp;I105&amp;#REF!</f>
        <v>#REF!</v>
      </c>
      <c r="AH105" s="288" t="e">
        <f>IF(#REF!="○", F105, "")</f>
        <v>#REF!</v>
      </c>
    </row>
    <row r="106" spans="1:34" ht="36.75" hidden="1" customHeight="1">
      <c r="A106" s="289">
        <f t="shared" si="13"/>
        <v>96</v>
      </c>
      <c r="B106" s="290"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4" t="str">
        <f>IF(基本情報入力シート!Z135="","",基本情報入力シート!Z135)</f>
        <v/>
      </c>
      <c r="I106" s="285"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2" t="str">
        <f t="shared" si="9"/>
        <v/>
      </c>
      <c r="N106" s="261"/>
      <c r="O106" s="260"/>
      <c r="P106" s="260"/>
      <c r="Q106" s="213"/>
      <c r="R106" s="59"/>
      <c r="S106" s="1124" t="str">
        <f t="shared" si="10"/>
        <v/>
      </c>
      <c r="T106" s="1124"/>
      <c r="U106" s="1124"/>
      <c r="V106" s="1124"/>
      <c r="W106" s="1124"/>
      <c r="X106" s="1124"/>
      <c r="Y106" s="1124"/>
      <c r="Z106" s="1124"/>
      <c r="AA106" s="1124"/>
      <c r="AB106" s="1124"/>
      <c r="AC106" s="1124"/>
      <c r="AE106" s="618" t="str">
        <f t="shared" si="11"/>
        <v/>
      </c>
      <c r="AF106" s="300" t="str">
        <f t="shared" si="12"/>
        <v>×</v>
      </c>
      <c r="AG106" s="287" t="e">
        <f>D106&amp;I106&amp;#REF!</f>
        <v>#REF!</v>
      </c>
      <c r="AH106" s="288" t="e">
        <f>IF(#REF!="○", F106, "")</f>
        <v>#REF!</v>
      </c>
    </row>
    <row r="107" spans="1:34" ht="36.75" hidden="1" customHeight="1">
      <c r="A107" s="289">
        <f t="shared" si="13"/>
        <v>97</v>
      </c>
      <c r="B107" s="290"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4" t="str">
        <f>IF(基本情報入力シート!Z136="","",基本情報入力シート!Z136)</f>
        <v/>
      </c>
      <c r="I107" s="285"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2" t="str">
        <f>IFERROR(IF(I107="○",ROUNDDOWN(ROUNDDOWN(J107*K107,0)*L107,0),""), "単価未入力")</f>
        <v/>
      </c>
      <c r="N107" s="261"/>
      <c r="O107" s="260"/>
      <c r="P107" s="260"/>
      <c r="Q107" s="213"/>
      <c r="R107" s="59"/>
      <c r="S107" s="1124" t="str">
        <f t="shared" si="10"/>
        <v/>
      </c>
      <c r="T107" s="1124"/>
      <c r="U107" s="1124"/>
      <c r="V107" s="1124"/>
      <c r="W107" s="1124"/>
      <c r="X107" s="1124"/>
      <c r="Y107" s="1124"/>
      <c r="Z107" s="1124"/>
      <c r="AA107" s="1124"/>
      <c r="AB107" s="1124"/>
      <c r="AC107" s="1124"/>
      <c r="AE107" s="618" t="str">
        <f t="shared" si="11"/>
        <v/>
      </c>
      <c r="AF107" s="300" t="str">
        <f t="shared" si="12"/>
        <v>×</v>
      </c>
      <c r="AG107" s="287" t="e">
        <f>D107&amp;I107&amp;#REF!</f>
        <v>#REF!</v>
      </c>
      <c r="AH107" s="288" t="e">
        <f>IF(#REF!="○", F107, "")</f>
        <v>#REF!</v>
      </c>
    </row>
    <row r="108" spans="1:34" ht="36.75" hidden="1" customHeight="1">
      <c r="A108" s="289">
        <f t="shared" si="13"/>
        <v>98</v>
      </c>
      <c r="B108" s="290"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4" t="str">
        <f>IF(基本情報入力シート!Z137="","",基本情報入力シート!Z137)</f>
        <v/>
      </c>
      <c r="I108" s="285"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2" t="str">
        <f>IFERROR(IF(I108="○",ROUNDDOWN(ROUNDDOWN(J108*K108,0)*L108,0),""), "単価未入力")</f>
        <v/>
      </c>
      <c r="N108" s="261"/>
      <c r="O108" s="260"/>
      <c r="P108" s="260"/>
      <c r="Q108" s="213"/>
      <c r="R108" s="59"/>
      <c r="S108" s="1124" t="str">
        <f t="shared" si="10"/>
        <v/>
      </c>
      <c r="T108" s="1124"/>
      <c r="U108" s="1124"/>
      <c r="V108" s="1124"/>
      <c r="W108" s="1124"/>
      <c r="X108" s="1124"/>
      <c r="Y108" s="1124"/>
      <c r="Z108" s="1124"/>
      <c r="AA108" s="1124"/>
      <c r="AB108" s="1124"/>
      <c r="AC108" s="1124"/>
      <c r="AE108" s="618" t="str">
        <f t="shared" si="11"/>
        <v/>
      </c>
      <c r="AF108" s="300" t="str">
        <f t="shared" si="12"/>
        <v>×</v>
      </c>
      <c r="AG108" s="287" t="e">
        <f>D108&amp;I108&amp;#REF!</f>
        <v>#REF!</v>
      </c>
      <c r="AH108" s="288" t="e">
        <f>IF(#REF!="○", F108, "")</f>
        <v>#REF!</v>
      </c>
    </row>
    <row r="109" spans="1:34" ht="36.75" hidden="1" customHeight="1">
      <c r="A109" s="289">
        <f t="shared" si="13"/>
        <v>99</v>
      </c>
      <c r="B109" s="290"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4" t="str">
        <f>IF(基本情報入力シート!Z138="","",基本情報入力シート!Z138)</f>
        <v/>
      </c>
      <c r="I109" s="285"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2" t="str">
        <f>IFERROR(IF(I109="○",ROUNDDOWN(ROUNDDOWN(J109*K109,0)*L109,0),""), "単価未入力")</f>
        <v/>
      </c>
      <c r="N109" s="261"/>
      <c r="O109" s="260"/>
      <c r="P109" s="260"/>
      <c r="Q109" s="213"/>
      <c r="R109" s="59"/>
      <c r="S109" s="1124" t="str">
        <f t="shared" si="10"/>
        <v/>
      </c>
      <c r="T109" s="1124"/>
      <c r="U109" s="1124"/>
      <c r="V109" s="1124"/>
      <c r="W109" s="1124"/>
      <c r="X109" s="1124"/>
      <c r="Y109" s="1124"/>
      <c r="Z109" s="1124"/>
      <c r="AA109" s="1124"/>
      <c r="AB109" s="1124"/>
      <c r="AC109" s="1124"/>
      <c r="AE109" s="618" t="str">
        <f t="shared" si="11"/>
        <v/>
      </c>
      <c r="AF109" s="300" t="str">
        <f t="shared" si="12"/>
        <v>×</v>
      </c>
      <c r="AG109" s="287" t="e">
        <f>D109&amp;I109&amp;#REF!</f>
        <v>#REF!</v>
      </c>
      <c r="AH109" s="288" t="e">
        <f>IF(#REF!="○", F109, "")</f>
        <v>#REF!</v>
      </c>
    </row>
    <row r="110" spans="1:34" ht="36.75" hidden="1" customHeight="1" thickBot="1">
      <c r="A110" s="293">
        <f t="shared" si="13"/>
        <v>100</v>
      </c>
      <c r="B110" s="294" t="str">
        <f>IF(基本情報入力シート!B139="","",基本情報入力シート!B139)</f>
        <v/>
      </c>
      <c r="C110" s="295" t="str">
        <f>IF(基本情報入力シート!L139="","",基本情報入力シート!L139)</f>
        <v/>
      </c>
      <c r="D110" s="295" t="str">
        <f>IF(基本情報入力シート!Q139="","",基本情報入力シート!Q139)</f>
        <v/>
      </c>
      <c r="E110" s="295" t="str">
        <f>IF(基本情報入力シート!V139="","",基本情報入力シート!V139)</f>
        <v/>
      </c>
      <c r="F110" s="295" t="str">
        <f>IF(基本情報入力シート!W139="","",基本情報入力シート!W139)</f>
        <v/>
      </c>
      <c r="G110" s="295" t="str">
        <f>IF(基本情報入力シート!X139="","",基本情報入力シート!X139)</f>
        <v/>
      </c>
      <c r="H110" s="296" t="str">
        <f>IF(基本情報入力シート!Z139="","",基本情報入力シート!Z139)</f>
        <v/>
      </c>
      <c r="I110" s="297"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8" t="str">
        <f>IFERROR(IF(I110="○",ROUNDDOWN(ROUNDDOWN(J110*K110,0)*L110,0),""), "単価未入力")</f>
        <v/>
      </c>
      <c r="N110" s="262"/>
      <c r="O110" s="263"/>
      <c r="P110" s="263"/>
      <c r="Q110" s="215"/>
      <c r="R110" s="59"/>
      <c r="S110" s="1124" t="str">
        <f t="shared" si="10"/>
        <v/>
      </c>
      <c r="T110" s="1124"/>
      <c r="U110" s="1124"/>
      <c r="V110" s="1124"/>
      <c r="W110" s="1124"/>
      <c r="X110" s="1124"/>
      <c r="Y110" s="1124"/>
      <c r="Z110" s="1124"/>
      <c r="AA110" s="1124"/>
      <c r="AB110" s="1124"/>
      <c r="AC110" s="1124"/>
      <c r="AE110" s="618" t="str">
        <f t="shared" si="11"/>
        <v/>
      </c>
      <c r="AF110" s="300" t="str">
        <f t="shared" si="12"/>
        <v>×</v>
      </c>
      <c r="AG110" s="287" t="e">
        <f>D110&amp;I110&amp;#REF!</f>
        <v>#REF!</v>
      </c>
      <c r="AH110" s="288" t="e">
        <f>IF(#REF!="○", F110, "")</f>
        <v>#REF!</v>
      </c>
    </row>
    <row r="111" spans="1:34">
      <c r="C111" s="299"/>
      <c r="D111" s="299"/>
      <c r="E111" s="299"/>
      <c r="F111" s="299"/>
      <c r="G111" s="299"/>
    </row>
    <row r="112" spans="1:34">
      <c r="C112" s="299"/>
      <c r="D112" s="299"/>
      <c r="E112" s="299"/>
      <c r="F112" s="299"/>
      <c r="G112" s="299"/>
    </row>
    <row r="113" spans="3:7">
      <c r="C113" s="299"/>
      <c r="D113" s="299"/>
      <c r="E113" s="299"/>
      <c r="F113" s="299"/>
      <c r="G113" s="299"/>
    </row>
    <row r="114" spans="3:7">
      <c r="C114" s="299"/>
      <c r="D114" s="299"/>
      <c r="E114" s="299"/>
      <c r="F114" s="299"/>
      <c r="G114" s="299"/>
    </row>
    <row r="115" spans="3:7">
      <c r="C115" s="299"/>
      <c r="D115" s="299"/>
      <c r="E115" s="299"/>
      <c r="F115" s="299"/>
      <c r="G115" s="299"/>
    </row>
    <row r="116" spans="3:7">
      <c r="C116" s="299"/>
      <c r="D116" s="299"/>
      <c r="E116" s="299"/>
      <c r="F116" s="299"/>
      <c r="G116" s="299"/>
    </row>
    <row r="117" spans="3:7">
      <c r="C117" s="299"/>
      <c r="D117" s="299"/>
      <c r="E117" s="299"/>
      <c r="F117" s="299"/>
      <c r="G117" s="299"/>
    </row>
    <row r="118" spans="3:7">
      <c r="C118" s="299"/>
      <c r="D118" s="299"/>
      <c r="E118" s="299"/>
      <c r="F118" s="299"/>
      <c r="G118" s="299"/>
    </row>
    <row r="119" spans="3:7">
      <c r="C119" s="299"/>
      <c r="D119" s="299"/>
      <c r="E119" s="299"/>
      <c r="F119" s="299"/>
      <c r="G119" s="299"/>
    </row>
    <row r="120" spans="3:7">
      <c r="C120" s="299"/>
      <c r="D120" s="299"/>
      <c r="E120" s="299"/>
      <c r="F120" s="299"/>
      <c r="G120" s="299"/>
    </row>
    <row r="121" spans="3:7">
      <c r="C121" s="299"/>
      <c r="D121" s="299"/>
      <c r="E121" s="299"/>
      <c r="F121" s="299"/>
      <c r="G121" s="299"/>
    </row>
    <row r="122" spans="3:7">
      <c r="C122" s="299"/>
      <c r="D122" s="299"/>
      <c r="E122" s="299"/>
      <c r="F122" s="299"/>
      <c r="G122" s="299"/>
    </row>
    <row r="123" spans="3:7">
      <c r="C123" s="299"/>
      <c r="D123" s="299"/>
      <c r="E123" s="299"/>
      <c r="F123" s="299"/>
      <c r="G123" s="299"/>
    </row>
    <row r="124" spans="3:7">
      <c r="C124" s="299"/>
      <c r="D124" s="299"/>
      <c r="E124" s="299"/>
      <c r="F124" s="299"/>
      <c r="G124" s="299"/>
    </row>
    <row r="125" spans="3:7">
      <c r="C125" s="299"/>
      <c r="D125" s="299"/>
      <c r="E125" s="299"/>
      <c r="F125" s="299"/>
      <c r="G125" s="299"/>
    </row>
    <row r="126" spans="3:7">
      <c r="C126" s="299"/>
      <c r="D126" s="299"/>
      <c r="E126" s="299"/>
      <c r="F126" s="299"/>
      <c r="G126" s="299"/>
    </row>
    <row r="127" spans="3:7">
      <c r="C127" s="299"/>
      <c r="D127" s="299"/>
      <c r="E127" s="299"/>
      <c r="F127" s="299"/>
      <c r="G127" s="299"/>
    </row>
    <row r="128" spans="3:7">
      <c r="C128" s="299"/>
      <c r="D128" s="299"/>
      <c r="E128" s="299"/>
      <c r="F128" s="299"/>
      <c r="G128" s="299"/>
    </row>
    <row r="129" spans="3:7">
      <c r="C129" s="299"/>
      <c r="D129" s="299"/>
      <c r="E129" s="299"/>
      <c r="F129" s="299"/>
      <c r="G129" s="299"/>
    </row>
    <row r="130" spans="3:7">
      <c r="C130" s="299"/>
      <c r="D130" s="299"/>
      <c r="E130" s="299"/>
      <c r="F130" s="299"/>
      <c r="G130" s="299"/>
    </row>
    <row r="131" spans="3:7">
      <c r="C131" s="299"/>
      <c r="D131" s="299"/>
      <c r="E131" s="299"/>
      <c r="F131" s="299"/>
      <c r="G131" s="299"/>
    </row>
    <row r="132" spans="3:7">
      <c r="C132" s="299"/>
      <c r="D132" s="299"/>
      <c r="E132" s="299"/>
      <c r="F132" s="299"/>
      <c r="G132" s="299"/>
    </row>
    <row r="133" spans="3:7">
      <c r="C133" s="299"/>
      <c r="D133" s="299"/>
      <c r="E133" s="299"/>
      <c r="F133" s="299"/>
      <c r="G133" s="299"/>
    </row>
    <row r="134" spans="3:7">
      <c r="C134" s="299"/>
      <c r="D134" s="299"/>
      <c r="E134" s="299"/>
      <c r="F134" s="299"/>
      <c r="G134" s="299"/>
    </row>
    <row r="135" spans="3:7">
      <c r="C135" s="299"/>
      <c r="D135" s="299"/>
      <c r="E135" s="299"/>
      <c r="F135" s="299"/>
      <c r="G135" s="299"/>
    </row>
    <row r="136" spans="3:7">
      <c r="C136" s="299"/>
      <c r="D136" s="299"/>
      <c r="E136" s="299"/>
      <c r="F136" s="299"/>
      <c r="G136" s="299"/>
    </row>
    <row r="137" spans="3:7">
      <c r="C137" s="299"/>
      <c r="D137" s="299"/>
      <c r="E137" s="299"/>
      <c r="F137" s="299"/>
      <c r="G137" s="299"/>
    </row>
    <row r="138" spans="3:7">
      <c r="C138" s="299"/>
      <c r="D138" s="299"/>
      <c r="E138" s="299"/>
      <c r="F138" s="299"/>
      <c r="G138" s="299"/>
    </row>
    <row r="139" spans="3:7">
      <c r="C139" s="299"/>
      <c r="D139" s="299"/>
      <c r="E139" s="299"/>
      <c r="F139" s="299"/>
      <c r="G139" s="299"/>
    </row>
    <row r="140" spans="3:7">
      <c r="C140" s="299"/>
      <c r="D140" s="299"/>
      <c r="E140" s="299"/>
      <c r="F140" s="299"/>
      <c r="G140" s="299"/>
    </row>
    <row r="141" spans="3:7">
      <c r="C141" s="299"/>
      <c r="D141" s="299"/>
      <c r="E141" s="299"/>
      <c r="F141" s="299"/>
      <c r="G141" s="299"/>
    </row>
    <row r="142" spans="3:7">
      <c r="C142" s="299"/>
      <c r="D142" s="299"/>
      <c r="E142" s="299"/>
      <c r="F142" s="299"/>
      <c r="G142" s="299"/>
    </row>
    <row r="143" spans="3:7">
      <c r="C143" s="299"/>
      <c r="D143" s="299"/>
      <c r="E143" s="299"/>
      <c r="F143" s="299"/>
      <c r="G143" s="299"/>
    </row>
    <row r="144" spans="3:7">
      <c r="C144" s="299"/>
      <c r="D144" s="299"/>
      <c r="E144" s="299"/>
      <c r="F144" s="299"/>
      <c r="G144" s="299"/>
    </row>
    <row r="145" spans="3:7">
      <c r="C145" s="299"/>
      <c r="D145" s="299"/>
      <c r="E145" s="299"/>
      <c r="F145" s="299"/>
      <c r="G145" s="299"/>
    </row>
    <row r="146" spans="3:7">
      <c r="C146" s="299"/>
      <c r="D146" s="299"/>
      <c r="E146" s="299"/>
      <c r="F146" s="299"/>
      <c r="G146" s="299"/>
    </row>
    <row r="147" spans="3:7">
      <c r="C147" s="299"/>
      <c r="D147" s="299"/>
      <c r="E147" s="299"/>
      <c r="F147" s="299"/>
      <c r="G147" s="299"/>
    </row>
    <row r="148" spans="3:7">
      <c r="C148" s="299"/>
      <c r="D148" s="299"/>
      <c r="E148" s="299"/>
      <c r="F148" s="299"/>
      <c r="G148" s="299"/>
    </row>
    <row r="149" spans="3:7">
      <c r="C149" s="299"/>
      <c r="D149" s="299"/>
      <c r="E149" s="299"/>
      <c r="F149" s="299"/>
      <c r="G149" s="299"/>
    </row>
    <row r="150" spans="3:7">
      <c r="C150" s="299"/>
      <c r="D150" s="299"/>
      <c r="E150" s="299"/>
      <c r="F150" s="299"/>
      <c r="G150" s="299"/>
    </row>
    <row r="151" spans="3:7">
      <c r="C151" s="299"/>
      <c r="D151" s="299"/>
      <c r="E151" s="299"/>
      <c r="F151" s="299"/>
      <c r="G151" s="299"/>
    </row>
    <row r="152" spans="3:7">
      <c r="C152" s="299"/>
      <c r="D152" s="299"/>
      <c r="E152" s="299"/>
      <c r="F152" s="299"/>
      <c r="G152" s="299"/>
    </row>
    <row r="153" spans="3:7">
      <c r="C153" s="299"/>
      <c r="D153" s="299"/>
      <c r="E153" s="299"/>
      <c r="F153" s="299"/>
      <c r="G153" s="299"/>
    </row>
    <row r="154" spans="3:7">
      <c r="C154" s="299"/>
      <c r="D154" s="299"/>
      <c r="E154" s="299"/>
      <c r="F154" s="299"/>
      <c r="G154" s="299"/>
    </row>
    <row r="155" spans="3:7">
      <c r="C155" s="299"/>
      <c r="D155" s="299"/>
      <c r="E155" s="299"/>
      <c r="F155" s="299"/>
      <c r="G155" s="299"/>
    </row>
    <row r="156" spans="3:7">
      <c r="C156" s="299"/>
      <c r="D156" s="299"/>
      <c r="E156" s="299"/>
      <c r="F156" s="299"/>
      <c r="G156" s="299"/>
    </row>
    <row r="157" spans="3:7">
      <c r="C157" s="299"/>
      <c r="D157" s="299"/>
      <c r="E157" s="299"/>
      <c r="F157" s="299"/>
      <c r="G157" s="299"/>
    </row>
    <row r="158" spans="3:7">
      <c r="C158" s="299"/>
      <c r="D158" s="299"/>
      <c r="E158" s="299"/>
      <c r="F158" s="299"/>
      <c r="G158" s="299"/>
    </row>
    <row r="159" spans="3:7">
      <c r="C159" s="299"/>
      <c r="D159" s="299"/>
      <c r="E159" s="299"/>
      <c r="F159" s="299"/>
      <c r="G159" s="299"/>
    </row>
    <row r="160" spans="3:7">
      <c r="C160" s="299"/>
      <c r="D160" s="299"/>
      <c r="E160" s="299"/>
      <c r="F160" s="299"/>
      <c r="G160" s="299"/>
    </row>
    <row r="161" spans="3:19">
      <c r="C161" s="299"/>
      <c r="D161" s="299"/>
      <c r="E161" s="299"/>
      <c r="F161" s="299"/>
      <c r="G161" s="299"/>
    </row>
    <row r="162" spans="3:19">
      <c r="C162" s="299"/>
      <c r="D162" s="299"/>
      <c r="E162" s="299"/>
      <c r="F162" s="299"/>
      <c r="G162" s="299"/>
    </row>
    <row r="163" spans="3:19">
      <c r="C163" s="299"/>
      <c r="D163" s="299"/>
      <c r="E163" s="299"/>
      <c r="F163" s="299"/>
      <c r="G163" s="299"/>
    </row>
    <row r="164" spans="3:19">
      <c r="C164" s="299"/>
      <c r="D164" s="299"/>
      <c r="E164" s="299"/>
      <c r="F164" s="299"/>
      <c r="G164" s="299"/>
    </row>
    <row r="165" spans="3:19">
      <c r="C165" s="299"/>
      <c r="D165" s="299"/>
      <c r="E165" s="299"/>
      <c r="F165" s="299"/>
      <c r="G165" s="299"/>
    </row>
    <row r="166" spans="3:19">
      <c r="C166" s="299"/>
      <c r="D166" s="299"/>
      <c r="E166" s="299"/>
      <c r="F166" s="299"/>
      <c r="G166" s="299"/>
    </row>
    <row r="167" spans="3:19">
      <c r="C167" s="299"/>
      <c r="D167" s="299"/>
      <c r="E167" s="299"/>
      <c r="F167" s="299"/>
      <c r="G167" s="299"/>
    </row>
    <row r="168" spans="3:19">
      <c r="C168" s="299"/>
      <c r="D168" s="299"/>
      <c r="E168" s="299"/>
      <c r="F168" s="299"/>
      <c r="G168" s="299"/>
    </row>
    <row r="169" spans="3:19">
      <c r="C169" s="299"/>
      <c r="D169" s="299"/>
      <c r="E169" s="299"/>
      <c r="F169" s="299"/>
      <c r="G169" s="299"/>
    </row>
    <row r="170" spans="3:19">
      <c r="C170" s="299"/>
      <c r="D170" s="299"/>
      <c r="E170" s="299"/>
      <c r="F170" s="299"/>
      <c r="G170" s="299"/>
    </row>
    <row r="171" spans="3:19">
      <c r="C171" s="299"/>
      <c r="D171" s="299"/>
      <c r="E171" s="299"/>
      <c r="F171" s="299"/>
      <c r="G171" s="299"/>
    </row>
    <row r="172" spans="3:19">
      <c r="C172" s="299"/>
      <c r="D172" s="299"/>
      <c r="E172" s="299"/>
      <c r="F172" s="299"/>
      <c r="G172" s="299"/>
      <c r="S172" t="str">
        <f t="shared" ref="S172:S203" si="14">IF(AND(O175="○",O175=Q172),1,"")</f>
        <v/>
      </c>
    </row>
    <row r="173" spans="3:19">
      <c r="C173" s="299"/>
      <c r="D173" s="299"/>
      <c r="E173" s="299"/>
      <c r="F173" s="299"/>
      <c r="G173" s="299"/>
      <c r="S173" t="str">
        <f t="shared" si="14"/>
        <v/>
      </c>
    </row>
    <row r="174" spans="3:19">
      <c r="C174" s="299"/>
      <c r="D174" s="299"/>
      <c r="E174" s="299"/>
      <c r="F174" s="299"/>
      <c r="G174" s="299"/>
      <c r="S174" t="str">
        <f t="shared" si="14"/>
        <v/>
      </c>
    </row>
    <row r="175" spans="3:19">
      <c r="C175" s="299"/>
      <c r="D175" s="299"/>
      <c r="E175" s="299"/>
      <c r="F175" s="299"/>
      <c r="G175" s="299"/>
      <c r="S175" t="str">
        <f t="shared" si="14"/>
        <v/>
      </c>
    </row>
    <row r="176" spans="3:19">
      <c r="C176" s="299"/>
      <c r="D176" s="299"/>
      <c r="E176" s="299"/>
      <c r="F176" s="299"/>
      <c r="G176" s="299"/>
      <c r="S176" t="str">
        <f t="shared" si="14"/>
        <v/>
      </c>
    </row>
    <row r="177" spans="3:19">
      <c r="C177" s="299"/>
      <c r="D177" s="299"/>
      <c r="E177" s="299"/>
      <c r="F177" s="299"/>
      <c r="G177" s="299"/>
      <c r="S177" t="str">
        <f t="shared" si="14"/>
        <v/>
      </c>
    </row>
    <row r="178" spans="3:19">
      <c r="C178" s="299"/>
      <c r="D178" s="299"/>
      <c r="E178" s="299"/>
      <c r="F178" s="299"/>
      <c r="G178" s="299"/>
      <c r="S178" t="str">
        <f t="shared" si="14"/>
        <v/>
      </c>
    </row>
    <row r="179" spans="3:19">
      <c r="C179" s="299"/>
      <c r="D179" s="299"/>
      <c r="E179" s="299"/>
      <c r="F179" s="299"/>
      <c r="G179" s="299"/>
      <c r="S179" t="str">
        <f t="shared" si="14"/>
        <v/>
      </c>
    </row>
    <row r="180" spans="3:19">
      <c r="C180" s="299"/>
      <c r="D180" s="299"/>
      <c r="E180" s="299"/>
      <c r="F180" s="299"/>
      <c r="G180" s="299"/>
      <c r="S180" t="str">
        <f t="shared" si="14"/>
        <v/>
      </c>
    </row>
    <row r="181" spans="3:19">
      <c r="C181" s="299"/>
      <c r="D181" s="299"/>
      <c r="E181" s="299"/>
      <c r="F181" s="299"/>
      <c r="G181" s="299"/>
      <c r="S181" t="str">
        <f t="shared" si="14"/>
        <v/>
      </c>
    </row>
    <row r="182" spans="3:19">
      <c r="C182" s="299"/>
      <c r="D182" s="299"/>
      <c r="E182" s="299"/>
      <c r="F182" s="299"/>
      <c r="G182" s="299"/>
      <c r="S182" t="str">
        <f t="shared" si="14"/>
        <v/>
      </c>
    </row>
    <row r="183" spans="3:19">
      <c r="C183" s="299"/>
      <c r="D183" s="299"/>
      <c r="E183" s="299"/>
      <c r="F183" s="299"/>
      <c r="G183" s="299"/>
      <c r="S183" t="str">
        <f t="shared" si="14"/>
        <v/>
      </c>
    </row>
    <row r="184" spans="3:19">
      <c r="C184" s="299"/>
      <c r="D184" s="299"/>
      <c r="E184" s="299"/>
      <c r="F184" s="299"/>
      <c r="G184" s="299"/>
      <c r="S184" t="str">
        <f t="shared" si="14"/>
        <v/>
      </c>
    </row>
    <row r="185" spans="3:19">
      <c r="C185" s="299"/>
      <c r="D185" s="299"/>
      <c r="E185" s="299"/>
      <c r="F185" s="299"/>
      <c r="G185" s="299"/>
      <c r="S185" t="str">
        <f t="shared" si="14"/>
        <v/>
      </c>
    </row>
    <row r="186" spans="3:19">
      <c r="C186" s="299"/>
      <c r="D186" s="299"/>
      <c r="E186" s="299"/>
      <c r="F186" s="299"/>
      <c r="G186" s="299"/>
      <c r="S186" t="str">
        <f t="shared" si="14"/>
        <v/>
      </c>
    </row>
    <row r="187" spans="3:19">
      <c r="C187" s="299"/>
      <c r="D187" s="299"/>
      <c r="E187" s="299"/>
      <c r="F187" s="299"/>
      <c r="G187" s="299"/>
      <c r="S187" t="str">
        <f t="shared" si="14"/>
        <v/>
      </c>
    </row>
    <row r="188" spans="3:19">
      <c r="C188" s="299"/>
      <c r="D188" s="299"/>
      <c r="E188" s="299"/>
      <c r="F188" s="299"/>
      <c r="G188" s="299"/>
      <c r="S188" t="str">
        <f t="shared" si="14"/>
        <v/>
      </c>
    </row>
    <row r="189" spans="3:19">
      <c r="C189" s="299"/>
      <c r="D189" s="299"/>
      <c r="E189" s="299"/>
      <c r="F189" s="299"/>
      <c r="G189" s="299"/>
      <c r="S189" t="str">
        <f t="shared" si="14"/>
        <v/>
      </c>
    </row>
    <row r="190" spans="3:19">
      <c r="C190" s="299"/>
      <c r="D190" s="299"/>
      <c r="E190" s="299"/>
      <c r="F190" s="299"/>
      <c r="G190" s="299"/>
      <c r="S190" t="str">
        <f t="shared" si="14"/>
        <v/>
      </c>
    </row>
    <row r="191" spans="3:19">
      <c r="C191" s="299"/>
      <c r="D191" s="299"/>
      <c r="E191" s="299"/>
      <c r="F191" s="299"/>
      <c r="G191" s="299"/>
      <c r="S191" t="str">
        <f t="shared" si="14"/>
        <v/>
      </c>
    </row>
    <row r="192" spans="3:19">
      <c r="C192" s="299"/>
      <c r="D192" s="299"/>
      <c r="E192" s="299"/>
      <c r="F192" s="299"/>
      <c r="G192" s="299"/>
      <c r="S192" t="str">
        <f t="shared" si="14"/>
        <v/>
      </c>
    </row>
    <row r="193" spans="3:19">
      <c r="C193" s="299"/>
      <c r="D193" s="299"/>
      <c r="E193" s="299"/>
      <c r="F193" s="299"/>
      <c r="G193" s="299"/>
      <c r="S193" t="str">
        <f t="shared" si="14"/>
        <v/>
      </c>
    </row>
    <row r="194" spans="3:19">
      <c r="C194" s="299"/>
      <c r="D194" s="299"/>
      <c r="E194" s="299"/>
      <c r="F194" s="299"/>
      <c r="G194" s="299"/>
      <c r="S194" t="str">
        <f t="shared" si="14"/>
        <v/>
      </c>
    </row>
    <row r="195" spans="3:19">
      <c r="C195" s="299"/>
      <c r="D195" s="299"/>
      <c r="E195" s="299"/>
      <c r="F195" s="299"/>
      <c r="G195" s="299"/>
      <c r="S195" t="str">
        <f t="shared" si="14"/>
        <v/>
      </c>
    </row>
    <row r="196" spans="3:19">
      <c r="C196" s="299"/>
      <c r="D196" s="299"/>
      <c r="E196" s="299"/>
      <c r="F196" s="299"/>
      <c r="G196" s="299"/>
      <c r="S196" t="str">
        <f t="shared" si="14"/>
        <v/>
      </c>
    </row>
    <row r="197" spans="3:19">
      <c r="C197" s="299"/>
      <c r="D197" s="299"/>
      <c r="E197" s="299"/>
      <c r="F197" s="299"/>
      <c r="G197" s="299"/>
      <c r="S197" t="str">
        <f t="shared" si="14"/>
        <v/>
      </c>
    </row>
    <row r="198" spans="3:19">
      <c r="C198" s="299"/>
      <c r="D198" s="299"/>
      <c r="E198" s="299"/>
      <c r="F198" s="299"/>
      <c r="G198" s="299"/>
      <c r="S198" t="str">
        <f t="shared" si="14"/>
        <v/>
      </c>
    </row>
    <row r="199" spans="3:19">
      <c r="C199" s="299"/>
      <c r="D199" s="299"/>
      <c r="E199" s="299"/>
      <c r="F199" s="299"/>
      <c r="G199" s="299"/>
      <c r="S199" t="str">
        <f t="shared" si="14"/>
        <v/>
      </c>
    </row>
    <row r="200" spans="3:19">
      <c r="C200" s="299"/>
      <c r="D200" s="299"/>
      <c r="E200" s="299"/>
      <c r="F200" s="299"/>
      <c r="G200" s="299"/>
      <c r="S200" t="str">
        <f t="shared" si="14"/>
        <v/>
      </c>
    </row>
    <row r="201" spans="3:19">
      <c r="C201" s="299"/>
      <c r="D201" s="299"/>
      <c r="E201" s="299"/>
      <c r="F201" s="299"/>
      <c r="G201" s="299"/>
      <c r="S201" t="str">
        <f t="shared" si="14"/>
        <v/>
      </c>
    </row>
    <row r="202" spans="3:19">
      <c r="C202" s="299"/>
      <c r="D202" s="299"/>
      <c r="E202" s="299"/>
      <c r="F202" s="299"/>
      <c r="G202" s="299"/>
      <c r="S202" t="str">
        <f t="shared" si="14"/>
        <v/>
      </c>
    </row>
    <row r="203" spans="3:19">
      <c r="C203" s="299"/>
      <c r="D203" s="299"/>
      <c r="E203" s="299"/>
      <c r="F203" s="299"/>
      <c r="G203" s="299"/>
      <c r="S203" t="str">
        <f t="shared" si="14"/>
        <v/>
      </c>
    </row>
    <row r="204" spans="3:19">
      <c r="C204" s="299"/>
      <c r="D204" s="299"/>
      <c r="E204" s="299"/>
      <c r="F204" s="299"/>
      <c r="G204" s="299"/>
      <c r="S204" t="str">
        <f t="shared" ref="S204:S235" si="15">IF(AND(O207="○",O207=Q204),1,"")</f>
        <v/>
      </c>
    </row>
    <row r="205" spans="3:19">
      <c r="C205" s="299"/>
      <c r="D205" s="299"/>
      <c r="E205" s="299"/>
      <c r="F205" s="299"/>
      <c r="G205" s="299"/>
      <c r="S205" t="str">
        <f t="shared" si="15"/>
        <v/>
      </c>
    </row>
    <row r="206" spans="3:19">
      <c r="C206" s="299"/>
      <c r="D206" s="299"/>
      <c r="E206" s="299"/>
      <c r="F206" s="299"/>
      <c r="G206" s="299"/>
      <c r="S206" t="str">
        <f t="shared" si="15"/>
        <v/>
      </c>
    </row>
    <row r="207" spans="3:19">
      <c r="C207" s="299"/>
      <c r="D207" s="299"/>
      <c r="E207" s="299"/>
      <c r="F207" s="299"/>
      <c r="G207" s="299"/>
      <c r="S207" t="str">
        <f t="shared" si="15"/>
        <v/>
      </c>
    </row>
    <row r="208" spans="3:19">
      <c r="C208" s="299"/>
      <c r="D208" s="299"/>
      <c r="E208" s="299"/>
      <c r="F208" s="299"/>
      <c r="G208" s="299"/>
      <c r="S208" t="str">
        <f t="shared" si="15"/>
        <v/>
      </c>
    </row>
    <row r="209" spans="3:19">
      <c r="C209" s="299"/>
      <c r="D209" s="299"/>
      <c r="E209" s="299"/>
      <c r="F209" s="299"/>
      <c r="G209" s="299"/>
      <c r="S209" t="str">
        <f t="shared" si="15"/>
        <v/>
      </c>
    </row>
    <row r="210" spans="3:19">
      <c r="C210" s="299"/>
      <c r="D210" s="299"/>
      <c r="E210" s="299"/>
      <c r="F210" s="299"/>
      <c r="G210" s="299"/>
      <c r="S210" t="str">
        <f t="shared" si="15"/>
        <v/>
      </c>
    </row>
    <row r="211" spans="3:19">
      <c r="C211" s="299"/>
      <c r="D211" s="299"/>
      <c r="E211" s="299"/>
      <c r="F211" s="299"/>
      <c r="G211" s="299"/>
      <c r="S211" t="str">
        <f t="shared" si="15"/>
        <v/>
      </c>
    </row>
    <row r="212" spans="3:19">
      <c r="C212" s="299"/>
      <c r="D212" s="299"/>
      <c r="E212" s="299"/>
      <c r="F212" s="299"/>
      <c r="G212" s="299"/>
      <c r="S212" t="str">
        <f t="shared" si="15"/>
        <v/>
      </c>
    </row>
    <row r="213" spans="3:19">
      <c r="C213" s="299"/>
      <c r="D213" s="299"/>
      <c r="E213" s="299"/>
      <c r="F213" s="299"/>
      <c r="G213" s="299"/>
      <c r="S213" t="str">
        <f t="shared" si="15"/>
        <v/>
      </c>
    </row>
    <row r="214" spans="3:19">
      <c r="C214" s="299"/>
      <c r="D214" s="299"/>
      <c r="E214" s="299"/>
      <c r="F214" s="299"/>
      <c r="G214" s="299"/>
      <c r="S214" t="str">
        <f t="shared" si="15"/>
        <v/>
      </c>
    </row>
    <row r="215" spans="3:19">
      <c r="C215" s="299"/>
      <c r="D215" s="299"/>
      <c r="E215" s="299"/>
      <c r="F215" s="299"/>
      <c r="G215" s="299"/>
      <c r="S215" t="str">
        <f t="shared" si="15"/>
        <v/>
      </c>
    </row>
    <row r="216" spans="3:19">
      <c r="C216" s="299"/>
      <c r="D216" s="299"/>
      <c r="E216" s="299"/>
      <c r="F216" s="299"/>
      <c r="G216" s="299"/>
      <c r="S216" t="str">
        <f t="shared" si="15"/>
        <v/>
      </c>
    </row>
    <row r="217" spans="3:19">
      <c r="C217" s="299"/>
      <c r="D217" s="299"/>
      <c r="E217" s="299"/>
      <c r="F217" s="299"/>
      <c r="G217" s="299"/>
      <c r="S217" t="str">
        <f t="shared" si="15"/>
        <v/>
      </c>
    </row>
    <row r="218" spans="3:19">
      <c r="C218" s="299"/>
      <c r="D218" s="299"/>
      <c r="E218" s="299"/>
      <c r="F218" s="299"/>
      <c r="G218" s="299"/>
      <c r="S218" t="str">
        <f t="shared" si="15"/>
        <v/>
      </c>
    </row>
    <row r="219" spans="3:19">
      <c r="C219" s="299"/>
      <c r="D219" s="299"/>
      <c r="E219" s="299"/>
      <c r="F219" s="299"/>
      <c r="G219" s="299"/>
      <c r="S219" t="str">
        <f t="shared" si="15"/>
        <v/>
      </c>
    </row>
    <row r="220" spans="3:19">
      <c r="C220" s="299"/>
      <c r="D220" s="299"/>
      <c r="E220" s="299"/>
      <c r="F220" s="299"/>
      <c r="G220" s="299"/>
      <c r="S220" t="str">
        <f t="shared" si="15"/>
        <v/>
      </c>
    </row>
    <row r="221" spans="3:19">
      <c r="C221" s="299"/>
      <c r="D221" s="299"/>
      <c r="E221" s="299"/>
      <c r="F221" s="299"/>
      <c r="G221" s="299"/>
      <c r="S221" t="str">
        <f t="shared" si="15"/>
        <v/>
      </c>
    </row>
    <row r="222" spans="3:19">
      <c r="C222" s="299"/>
      <c r="D222" s="299"/>
      <c r="E222" s="299"/>
      <c r="F222" s="299"/>
      <c r="G222" s="299"/>
      <c r="S222" t="str">
        <f t="shared" si="15"/>
        <v/>
      </c>
    </row>
    <row r="223" spans="3:19">
      <c r="C223" s="299"/>
      <c r="D223" s="299"/>
      <c r="E223" s="299"/>
      <c r="F223" s="299"/>
      <c r="G223" s="299"/>
      <c r="S223" t="str">
        <f t="shared" si="15"/>
        <v/>
      </c>
    </row>
    <row r="224" spans="3:19">
      <c r="C224" s="299"/>
      <c r="D224" s="299"/>
      <c r="E224" s="299"/>
      <c r="F224" s="299"/>
      <c r="G224" s="299"/>
      <c r="S224" t="str">
        <f t="shared" si="15"/>
        <v/>
      </c>
    </row>
    <row r="225" spans="3:19">
      <c r="C225" s="299"/>
      <c r="D225" s="299"/>
      <c r="E225" s="299"/>
      <c r="F225" s="299"/>
      <c r="G225" s="299"/>
      <c r="S225" t="str">
        <f t="shared" si="15"/>
        <v/>
      </c>
    </row>
    <row r="226" spans="3:19">
      <c r="C226" s="299"/>
      <c r="D226" s="299"/>
      <c r="E226" s="299"/>
      <c r="F226" s="299"/>
      <c r="G226" s="299"/>
      <c r="S226" t="str">
        <f t="shared" si="15"/>
        <v/>
      </c>
    </row>
    <row r="227" spans="3:19">
      <c r="C227" s="299"/>
      <c r="D227" s="299"/>
      <c r="E227" s="299"/>
      <c r="F227" s="299"/>
      <c r="G227" s="299"/>
      <c r="S227" t="str">
        <f t="shared" si="15"/>
        <v/>
      </c>
    </row>
    <row r="228" spans="3:19">
      <c r="C228" s="299"/>
      <c r="D228" s="299"/>
      <c r="E228" s="299"/>
      <c r="F228" s="299"/>
      <c r="G228" s="299"/>
      <c r="S228" t="str">
        <f t="shared" si="15"/>
        <v/>
      </c>
    </row>
    <row r="229" spans="3:19">
      <c r="C229" s="299"/>
      <c r="D229" s="299"/>
      <c r="E229" s="299"/>
      <c r="F229" s="299"/>
      <c r="G229" s="299"/>
      <c r="S229" t="str">
        <f t="shared" si="15"/>
        <v/>
      </c>
    </row>
    <row r="230" spans="3:19">
      <c r="C230" s="299"/>
      <c r="D230" s="299"/>
      <c r="E230" s="299"/>
      <c r="F230" s="299"/>
      <c r="G230" s="299"/>
      <c r="S230" t="str">
        <f t="shared" si="15"/>
        <v/>
      </c>
    </row>
    <row r="231" spans="3:19">
      <c r="C231" s="299"/>
      <c r="D231" s="299"/>
      <c r="E231" s="299"/>
      <c r="F231" s="299"/>
      <c r="G231" s="299"/>
      <c r="S231" t="str">
        <f t="shared" si="15"/>
        <v/>
      </c>
    </row>
    <row r="232" spans="3:19">
      <c r="C232" s="299"/>
      <c r="D232" s="299"/>
      <c r="E232" s="299"/>
      <c r="F232" s="299"/>
      <c r="G232" s="299"/>
      <c r="S232" t="str">
        <f t="shared" si="15"/>
        <v/>
      </c>
    </row>
    <row r="233" spans="3:19">
      <c r="C233" s="299"/>
      <c r="D233" s="299"/>
      <c r="E233" s="299"/>
      <c r="F233" s="299"/>
      <c r="G233" s="299"/>
      <c r="S233" t="str">
        <f t="shared" si="15"/>
        <v/>
      </c>
    </row>
    <row r="234" spans="3:19">
      <c r="C234" s="299"/>
      <c r="D234" s="299"/>
      <c r="E234" s="299"/>
      <c r="F234" s="299"/>
      <c r="G234" s="299"/>
      <c r="S234" t="str">
        <f t="shared" si="15"/>
        <v/>
      </c>
    </row>
    <row r="235" spans="3:19">
      <c r="C235" s="299"/>
      <c r="D235" s="299"/>
      <c r="E235" s="299"/>
      <c r="F235" s="299"/>
      <c r="G235" s="299"/>
      <c r="S235" t="str">
        <f t="shared" si="15"/>
        <v/>
      </c>
    </row>
    <row r="236" spans="3:19">
      <c r="C236" s="299"/>
      <c r="D236" s="299"/>
      <c r="E236" s="299"/>
      <c r="F236" s="299"/>
      <c r="G236" s="299"/>
      <c r="S236" t="str">
        <f t="shared" ref="S236:S267" si="16">IF(AND(O239="○",O239=Q236),1,"")</f>
        <v/>
      </c>
    </row>
    <row r="237" spans="3:19">
      <c r="C237" s="299"/>
      <c r="D237" s="299"/>
      <c r="E237" s="299"/>
      <c r="F237" s="299"/>
      <c r="G237" s="299"/>
      <c r="S237" t="str">
        <f t="shared" si="16"/>
        <v/>
      </c>
    </row>
    <row r="238" spans="3:19">
      <c r="C238" s="299"/>
      <c r="D238" s="299"/>
      <c r="E238" s="299"/>
      <c r="F238" s="299"/>
      <c r="G238" s="299"/>
      <c r="S238" t="str">
        <f t="shared" si="16"/>
        <v/>
      </c>
    </row>
    <row r="239" spans="3:19">
      <c r="C239" s="299"/>
      <c r="D239" s="299"/>
      <c r="E239" s="299"/>
      <c r="F239" s="299"/>
      <c r="G239" s="299"/>
      <c r="S239" t="str">
        <f t="shared" si="16"/>
        <v/>
      </c>
    </row>
    <row r="240" spans="3:19">
      <c r="C240" s="299"/>
      <c r="D240" s="299"/>
      <c r="E240" s="299"/>
      <c r="F240" s="299"/>
      <c r="G240" s="299"/>
      <c r="S240" t="str">
        <f t="shared" si="16"/>
        <v/>
      </c>
    </row>
    <row r="241" spans="3:19">
      <c r="C241" s="299"/>
      <c r="D241" s="299"/>
      <c r="E241" s="299"/>
      <c r="F241" s="299"/>
      <c r="G241" s="299"/>
      <c r="S241" t="str">
        <f t="shared" si="16"/>
        <v/>
      </c>
    </row>
    <row r="242" spans="3:19">
      <c r="C242" s="299"/>
      <c r="D242" s="299"/>
      <c r="E242" s="299"/>
      <c r="F242" s="299"/>
      <c r="G242" s="299"/>
      <c r="S242" t="str">
        <f t="shared" si="16"/>
        <v/>
      </c>
    </row>
    <row r="243" spans="3:19">
      <c r="C243" s="299"/>
      <c r="D243" s="299"/>
      <c r="E243" s="299"/>
      <c r="F243" s="299"/>
      <c r="G243" s="299"/>
      <c r="S243" t="str">
        <f t="shared" si="16"/>
        <v/>
      </c>
    </row>
    <row r="244" spans="3:19">
      <c r="C244" s="299"/>
      <c r="D244" s="299"/>
      <c r="E244" s="299"/>
      <c r="F244" s="299"/>
      <c r="G244" s="299"/>
      <c r="S244" t="str">
        <f t="shared" si="16"/>
        <v/>
      </c>
    </row>
    <row r="245" spans="3:19">
      <c r="C245" s="299"/>
      <c r="D245" s="299"/>
      <c r="E245" s="299"/>
      <c r="F245" s="299"/>
      <c r="G245" s="299"/>
      <c r="S245" t="str">
        <f t="shared" si="16"/>
        <v/>
      </c>
    </row>
    <row r="246" spans="3:19">
      <c r="C246" s="299"/>
      <c r="D246" s="299"/>
      <c r="E246" s="299"/>
      <c r="F246" s="299"/>
      <c r="G246" s="299"/>
      <c r="S246" t="str">
        <f t="shared" si="16"/>
        <v/>
      </c>
    </row>
    <row r="247" spans="3:19">
      <c r="C247" s="299"/>
      <c r="D247" s="299"/>
      <c r="E247" s="299"/>
      <c r="F247" s="299"/>
      <c r="G247" s="299"/>
      <c r="S247" t="str">
        <f t="shared" si="16"/>
        <v/>
      </c>
    </row>
    <row r="248" spans="3:19">
      <c r="C248" s="299"/>
      <c r="D248" s="299"/>
      <c r="E248" s="299"/>
      <c r="F248" s="299"/>
      <c r="G248" s="299"/>
      <c r="S248" t="str">
        <f t="shared" si="16"/>
        <v/>
      </c>
    </row>
    <row r="249" spans="3:19">
      <c r="C249" s="299"/>
      <c r="D249" s="299"/>
      <c r="E249" s="299"/>
      <c r="F249" s="299"/>
      <c r="G249" s="299"/>
      <c r="S249" t="str">
        <f t="shared" si="16"/>
        <v/>
      </c>
    </row>
    <row r="250" spans="3:19">
      <c r="C250" s="299"/>
      <c r="D250" s="299"/>
      <c r="E250" s="299"/>
      <c r="F250" s="299"/>
      <c r="G250" s="299"/>
      <c r="S250" t="str">
        <f t="shared" si="16"/>
        <v/>
      </c>
    </row>
    <row r="251" spans="3:19">
      <c r="C251" s="299"/>
      <c r="D251" s="299"/>
      <c r="E251" s="299"/>
      <c r="F251" s="299"/>
      <c r="G251" s="299"/>
      <c r="S251" t="str">
        <f t="shared" si="16"/>
        <v/>
      </c>
    </row>
    <row r="252" spans="3:19">
      <c r="C252" s="299"/>
      <c r="D252" s="299"/>
      <c r="E252" s="299"/>
      <c r="F252" s="299"/>
      <c r="G252" s="299"/>
      <c r="S252" t="str">
        <f t="shared" si="16"/>
        <v/>
      </c>
    </row>
    <row r="253" spans="3:19">
      <c r="C253" s="299"/>
      <c r="D253" s="299"/>
      <c r="E253" s="299"/>
      <c r="F253" s="299"/>
      <c r="G253" s="299"/>
      <c r="S253" t="str">
        <f t="shared" si="16"/>
        <v/>
      </c>
    </row>
    <row r="254" spans="3:19">
      <c r="C254" s="299"/>
      <c r="D254" s="299"/>
      <c r="E254" s="299"/>
      <c r="F254" s="299"/>
      <c r="G254" s="299"/>
      <c r="S254" t="str">
        <f t="shared" si="16"/>
        <v/>
      </c>
    </row>
    <row r="255" spans="3:19">
      <c r="C255" s="299"/>
      <c r="D255" s="299"/>
      <c r="E255" s="299"/>
      <c r="F255" s="299"/>
      <c r="G255" s="299"/>
      <c r="S255" t="str">
        <f t="shared" si="16"/>
        <v/>
      </c>
    </row>
    <row r="256" spans="3:19">
      <c r="C256" s="299"/>
      <c r="D256" s="299"/>
      <c r="E256" s="299"/>
      <c r="F256" s="299"/>
      <c r="G256" s="299"/>
      <c r="S256" t="str">
        <f t="shared" si="16"/>
        <v/>
      </c>
    </row>
    <row r="257" spans="3:19">
      <c r="C257" s="299"/>
      <c r="D257" s="299"/>
      <c r="E257" s="299"/>
      <c r="F257" s="299"/>
      <c r="G257" s="299"/>
      <c r="S257" t="str">
        <f t="shared" si="16"/>
        <v/>
      </c>
    </row>
    <row r="258" spans="3:19">
      <c r="C258" s="299"/>
      <c r="D258" s="299"/>
      <c r="E258" s="299"/>
      <c r="F258" s="299"/>
      <c r="G258" s="299"/>
      <c r="S258" t="str">
        <f t="shared" si="16"/>
        <v/>
      </c>
    </row>
    <row r="259" spans="3:19">
      <c r="C259" s="299"/>
      <c r="D259" s="299"/>
      <c r="E259" s="299"/>
      <c r="F259" s="299"/>
      <c r="G259" s="299"/>
      <c r="S259" t="str">
        <f t="shared" si="16"/>
        <v/>
      </c>
    </row>
    <row r="260" spans="3:19">
      <c r="C260" s="299"/>
      <c r="D260" s="299"/>
      <c r="E260" s="299"/>
      <c r="F260" s="299"/>
      <c r="G260" s="299"/>
      <c r="S260" t="str">
        <f t="shared" si="16"/>
        <v/>
      </c>
    </row>
    <row r="261" spans="3:19">
      <c r="C261" s="299"/>
      <c r="D261" s="299"/>
      <c r="E261" s="299"/>
      <c r="F261" s="299"/>
      <c r="G261" s="299"/>
      <c r="S261" t="str">
        <f t="shared" si="16"/>
        <v/>
      </c>
    </row>
    <row r="262" spans="3:19">
      <c r="C262" s="299"/>
      <c r="D262" s="299"/>
      <c r="E262" s="299"/>
      <c r="F262" s="299"/>
      <c r="G262" s="299"/>
      <c r="S262" t="str">
        <f t="shared" si="16"/>
        <v/>
      </c>
    </row>
    <row r="263" spans="3:19">
      <c r="C263" s="299"/>
      <c r="D263" s="299"/>
      <c r="E263" s="299"/>
      <c r="F263" s="299"/>
      <c r="G263" s="299"/>
      <c r="S263" t="str">
        <f t="shared" si="16"/>
        <v/>
      </c>
    </row>
    <row r="264" spans="3:19">
      <c r="C264" s="299"/>
      <c r="D264" s="299"/>
      <c r="E264" s="299"/>
      <c r="F264" s="299"/>
      <c r="G264" s="299"/>
      <c r="S264" t="str">
        <f t="shared" si="16"/>
        <v/>
      </c>
    </row>
    <row r="265" spans="3:19">
      <c r="C265" s="299"/>
      <c r="D265" s="299"/>
      <c r="E265" s="299"/>
      <c r="F265" s="299"/>
      <c r="G265" s="299"/>
      <c r="S265" t="str">
        <f t="shared" si="16"/>
        <v/>
      </c>
    </row>
    <row r="266" spans="3:19">
      <c r="C266" s="299"/>
      <c r="D266" s="299"/>
      <c r="E266" s="299"/>
      <c r="F266" s="299"/>
      <c r="G266" s="299"/>
      <c r="S266" t="str">
        <f t="shared" si="16"/>
        <v/>
      </c>
    </row>
    <row r="267" spans="3:19">
      <c r="C267" s="299"/>
      <c r="D267" s="299"/>
      <c r="E267" s="299"/>
      <c r="F267" s="299"/>
      <c r="G267" s="299"/>
      <c r="S267" t="str">
        <f t="shared" si="16"/>
        <v/>
      </c>
    </row>
    <row r="268" spans="3:19">
      <c r="C268" s="299"/>
      <c r="D268" s="299"/>
      <c r="E268" s="299"/>
      <c r="F268" s="299"/>
      <c r="G268" s="299"/>
      <c r="S268" t="str">
        <f t="shared" ref="S268:S275" si="17">IF(AND(O271="○",O271=Q268),1,"")</f>
        <v/>
      </c>
    </row>
    <row r="269" spans="3:19">
      <c r="C269" s="299"/>
      <c r="D269" s="299"/>
      <c r="E269" s="299"/>
      <c r="F269" s="299"/>
      <c r="G269" s="299"/>
      <c r="S269" t="str">
        <f t="shared" si="17"/>
        <v/>
      </c>
    </row>
    <row r="270" spans="3:19">
      <c r="C270" s="299"/>
      <c r="D270" s="299"/>
      <c r="E270" s="299"/>
      <c r="F270" s="299"/>
      <c r="G270" s="299"/>
      <c r="S270" t="str">
        <f t="shared" si="17"/>
        <v/>
      </c>
    </row>
    <row r="271" spans="3:19">
      <c r="C271" s="299"/>
      <c r="D271" s="299"/>
      <c r="E271" s="299"/>
      <c r="F271" s="299"/>
      <c r="G271" s="299"/>
      <c r="S271" t="str">
        <f t="shared" si="17"/>
        <v/>
      </c>
    </row>
    <row r="272" spans="3:19">
      <c r="C272" s="299"/>
      <c r="D272" s="299"/>
      <c r="E272" s="299"/>
      <c r="F272" s="299"/>
      <c r="G272" s="299"/>
      <c r="S272" t="str">
        <f t="shared" si="17"/>
        <v/>
      </c>
    </row>
    <row r="273" spans="3:19">
      <c r="C273" s="299"/>
      <c r="D273" s="299"/>
      <c r="E273" s="299"/>
      <c r="F273" s="299"/>
      <c r="G273" s="299"/>
      <c r="S273" t="str">
        <f t="shared" si="17"/>
        <v/>
      </c>
    </row>
    <row r="274" spans="3:19">
      <c r="C274" s="299"/>
      <c r="D274" s="299"/>
      <c r="E274" s="299"/>
      <c r="F274" s="299"/>
      <c r="G274" s="299"/>
      <c r="S274" t="str">
        <f t="shared" si="17"/>
        <v/>
      </c>
    </row>
    <row r="275" spans="3:19">
      <c r="C275" s="299"/>
      <c r="D275" s="299"/>
      <c r="E275" s="299"/>
      <c r="F275" s="299"/>
      <c r="G275" s="299"/>
      <c r="S275" t="str">
        <f t="shared" si="17"/>
        <v/>
      </c>
    </row>
    <row r="276" spans="3:19">
      <c r="C276" s="299"/>
      <c r="D276" s="299"/>
      <c r="E276" s="299"/>
      <c r="F276" s="299"/>
      <c r="G276" s="299"/>
    </row>
    <row r="277" spans="3:19">
      <c r="C277" s="299"/>
      <c r="D277" s="299"/>
      <c r="E277" s="299"/>
      <c r="F277" s="299"/>
      <c r="G277" s="299"/>
    </row>
  </sheetData>
  <sheetProtection formatRows="0" insertRows="0" deleteRows="0" sort="0" autoFilter="0"/>
  <autoFilter ref="D10:D110" xr:uid="{55512DE5-1FA0-4501-A541-C7789F99C385}">
    <filterColumn colId="0">
      <filters>
        <filter val="奈良県"/>
      </filters>
    </filterColumn>
  </autoFilter>
  <dataConsolidate/>
  <mergeCells count="125">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M1:O1"/>
    <mergeCell ref="AF1:AJ1"/>
    <mergeCell ref="AF2:AJ3"/>
    <mergeCell ref="P1:Q1"/>
    <mergeCell ref="J8:J10"/>
    <mergeCell ref="K8:K10"/>
    <mergeCell ref="L8:L10"/>
    <mergeCell ref="N8:Q9"/>
    <mergeCell ref="R8:R9"/>
    <mergeCell ref="S10:AC10"/>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dimension ref="A1:D23"/>
  <sheetViews>
    <sheetView view="pageBreakPreview" zoomScale="140" zoomScaleNormal="130" zoomScaleSheetLayoutView="140" workbookViewId="0">
      <selection activeCell="B19" sqref="B19:D19"/>
    </sheetView>
  </sheetViews>
  <sheetFormatPr defaultRowHeight="13.2"/>
  <cols>
    <col min="1" max="2" width="25.6640625" customWidth="1"/>
    <col min="3" max="3" width="20.6640625" customWidth="1"/>
    <col min="4" max="4" width="12.6640625" customWidth="1"/>
    <col min="5" max="5" width="0.109375" customWidth="1"/>
    <col min="6" max="7" width="9" customWidth="1"/>
  </cols>
  <sheetData>
    <row r="1" spans="1:4" ht="14.4">
      <c r="A1" s="700" t="s">
        <v>2563</v>
      </c>
      <c r="B1" s="65"/>
      <c r="C1" s="691"/>
      <c r="D1" s="692"/>
    </row>
    <row r="2" spans="1:4" ht="13.8" thickBot="1"/>
    <row r="3" spans="1:4" ht="13.8" thickBot="1">
      <c r="D3" s="395" t="str">
        <f>IF(AND(B11&lt;&gt;"",B12&lt;&gt;"",D12&lt;&gt;"",B14&lt;&gt;"",B15&lt;&gt;"",D15&lt;&gt;"",B17&lt;&gt;"",B18&lt;&gt;"",B19&lt;&gt;""),"○","×")</f>
        <v>○</v>
      </c>
    </row>
    <row r="4" spans="1:4">
      <c r="A4" s="693" t="s">
        <v>13</v>
      </c>
      <c r="B4" s="1386" t="str">
        <f>基本情報入力シート!L21&amp;""</f>
        <v>○○ケアサービス</v>
      </c>
      <c r="C4" s="1386"/>
      <c r="D4" s="1387"/>
    </row>
    <row r="5" spans="1:4">
      <c r="A5" s="694" t="s">
        <v>178</v>
      </c>
      <c r="B5" s="1388" t="str">
        <f>基本情報入力シート!L22&amp;""</f>
        <v>○○ケアサービス</v>
      </c>
      <c r="C5" s="1388"/>
      <c r="D5" s="1388"/>
    </row>
    <row r="6" spans="1:4">
      <c r="A6" s="695" t="s">
        <v>2540</v>
      </c>
      <c r="B6" s="1389" t="str">
        <f>"〒"&amp;基本情報入力シート!L23&amp;"-"&amp;基本情報入力シート!Q23</f>
        <v>〒630-8501</v>
      </c>
      <c r="C6" s="1389"/>
      <c r="D6" s="1389"/>
    </row>
    <row r="7" spans="1:4" ht="13.5" customHeight="1">
      <c r="A7" s="695" t="s">
        <v>179</v>
      </c>
      <c r="B7" s="1112" t="str">
        <f>基本情報入力シート!L24&amp;"　"&amp;基本情報入力シート!L25</f>
        <v>奈良県奈良市１－１－１　○○ビル○○号室</v>
      </c>
      <c r="C7" s="1112"/>
      <c r="D7" s="1112"/>
    </row>
    <row r="8" spans="1:4" ht="13.5" customHeight="1">
      <c r="A8" s="695" t="s">
        <v>2541</v>
      </c>
      <c r="B8" s="1390" t="str">
        <f>基本情報入力シート!L26&amp;"　"&amp;基本情報入力シート!L27</f>
        <v>代表取締役　厚労 花子</v>
      </c>
      <c r="C8" s="1391"/>
      <c r="D8" s="1392"/>
    </row>
    <row r="9" spans="1:4">
      <c r="A9" s="695" t="s">
        <v>27</v>
      </c>
      <c r="B9" s="1393" t="s">
        <v>2669</v>
      </c>
      <c r="C9" s="1393"/>
      <c r="D9" s="1393"/>
    </row>
    <row r="10" spans="1:4">
      <c r="A10" s="274"/>
    </row>
    <row r="11" spans="1:4">
      <c r="A11" s="695" t="s">
        <v>2542</v>
      </c>
      <c r="B11" s="1394" t="s">
        <v>2543</v>
      </c>
      <c r="C11" s="1394"/>
      <c r="D11" s="1394"/>
    </row>
    <row r="12" spans="1:4">
      <c r="A12" s="695" t="s">
        <v>2544</v>
      </c>
      <c r="B12" s="696" t="s">
        <v>2545</v>
      </c>
      <c r="C12" s="697" t="s">
        <v>2546</v>
      </c>
      <c r="D12" s="698" t="s">
        <v>2547</v>
      </c>
    </row>
    <row r="13" spans="1:4">
      <c r="A13" s="274"/>
    </row>
    <row r="14" spans="1:4">
      <c r="A14" s="695" t="s">
        <v>2548</v>
      </c>
      <c r="B14" s="1394" t="s">
        <v>2549</v>
      </c>
      <c r="C14" s="1394"/>
      <c r="D14" s="1394"/>
    </row>
    <row r="15" spans="1:4">
      <c r="A15" s="695" t="s">
        <v>2550</v>
      </c>
      <c r="B15" s="699" t="s">
        <v>2551</v>
      </c>
      <c r="C15" s="697" t="s">
        <v>2552</v>
      </c>
      <c r="D15" s="698" t="s">
        <v>2553</v>
      </c>
    </row>
    <row r="16" spans="1:4">
      <c r="A16" s="274"/>
    </row>
    <row r="17" spans="1:4">
      <c r="A17" s="695" t="s">
        <v>2554</v>
      </c>
      <c r="B17" s="1394" t="s">
        <v>2555</v>
      </c>
      <c r="C17" s="1394"/>
      <c r="D17" s="1394"/>
    </row>
    <row r="18" spans="1:4">
      <c r="A18" s="695" t="s">
        <v>2556</v>
      </c>
      <c r="B18" s="1395" t="s">
        <v>2670</v>
      </c>
      <c r="C18" s="1395"/>
      <c r="D18" s="1395"/>
    </row>
    <row r="19" spans="1:4">
      <c r="A19" s="695" t="s">
        <v>2557</v>
      </c>
      <c r="B19" s="1394" t="s">
        <v>2671</v>
      </c>
      <c r="C19" s="1394"/>
      <c r="D19" s="1394"/>
    </row>
    <row r="21" spans="1:4" ht="13.5" customHeight="1">
      <c r="A21" s="1060" t="s">
        <v>2558</v>
      </c>
      <c r="B21" s="1060"/>
      <c r="C21" s="1060"/>
      <c r="D21" s="1060"/>
    </row>
    <row r="22" spans="1:4">
      <c r="A22" s="1060"/>
      <c r="B22" s="1060"/>
      <c r="C22" s="1060"/>
      <c r="D22" s="1060"/>
    </row>
    <row r="23" spans="1:4">
      <c r="A23" s="1060"/>
      <c r="B23" s="1060"/>
      <c r="C23" s="1060"/>
      <c r="D23" s="1060"/>
    </row>
  </sheetData>
  <sheetProtection sheet="1" objects="1" scenarios="1"/>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44140625" style="543" customWidth="1"/>
    <col min="2" max="2" width="19.88671875" style="543" customWidth="1"/>
    <col min="3" max="3" width="31.109375" style="543" customWidth="1"/>
    <col min="4" max="4" width="47.44140625" style="543" customWidth="1"/>
    <col min="5" max="5" width="42.44140625" style="543" customWidth="1"/>
    <col min="6" max="6" width="42.88671875" style="543" customWidth="1"/>
    <col min="7" max="7" width="16.44140625" style="543" customWidth="1"/>
    <col min="8" max="8" width="44.6640625" style="543" customWidth="1"/>
    <col min="9" max="9" width="40.44140625" style="543" customWidth="1"/>
    <col min="10" max="229" width="9.88671875" style="526"/>
    <col min="230" max="230" width="8.44140625" style="526" customWidth="1"/>
    <col min="231" max="231" width="14" style="526" customWidth="1"/>
    <col min="232" max="232" width="17.88671875" style="526" customWidth="1"/>
    <col min="233" max="233" width="45" style="526" bestFit="1" customWidth="1"/>
    <col min="234" max="234" width="61.6640625" style="526" customWidth="1"/>
    <col min="235" max="235" width="20.44140625" style="526" customWidth="1"/>
    <col min="236" max="236" width="22.88671875" style="526" customWidth="1"/>
    <col min="237" max="237" width="25.109375" style="526" customWidth="1"/>
    <col min="238" max="485" width="9.88671875" style="526"/>
    <col min="486" max="486" width="8.44140625" style="526" customWidth="1"/>
    <col min="487" max="487" width="14" style="526" customWidth="1"/>
    <col min="488" max="488" width="17.88671875" style="526" customWidth="1"/>
    <col min="489" max="489" width="45" style="526" bestFit="1" customWidth="1"/>
    <col min="490" max="490" width="61.6640625" style="526" customWidth="1"/>
    <col min="491" max="491" width="20.44140625" style="526" customWidth="1"/>
    <col min="492" max="492" width="22.88671875" style="526" customWidth="1"/>
    <col min="493" max="493" width="25.109375" style="526" customWidth="1"/>
    <col min="494" max="741" width="9.88671875" style="526"/>
    <col min="742" max="742" width="8.44140625" style="526" customWidth="1"/>
    <col min="743" max="743" width="14" style="526" customWidth="1"/>
    <col min="744" max="744" width="17.88671875" style="526" customWidth="1"/>
    <col min="745" max="745" width="45" style="526" bestFit="1" customWidth="1"/>
    <col min="746" max="746" width="61.6640625" style="526" customWidth="1"/>
    <col min="747" max="747" width="20.44140625" style="526" customWidth="1"/>
    <col min="748" max="748" width="22.88671875" style="526" customWidth="1"/>
    <col min="749" max="749" width="25.109375" style="526" customWidth="1"/>
    <col min="750" max="997" width="9.88671875" style="526"/>
    <col min="998" max="998" width="8.44140625" style="526" customWidth="1"/>
    <col min="999" max="999" width="14" style="526" customWidth="1"/>
    <col min="1000" max="1000" width="17.88671875" style="526" customWidth="1"/>
    <col min="1001" max="1001" width="45" style="526" bestFit="1" customWidth="1"/>
    <col min="1002" max="1002" width="61.6640625" style="526" customWidth="1"/>
    <col min="1003" max="1003" width="20.44140625" style="526" customWidth="1"/>
    <col min="1004" max="1004" width="22.88671875" style="526" customWidth="1"/>
    <col min="1005" max="1005" width="25.109375" style="526" customWidth="1"/>
    <col min="1006" max="1253" width="9.88671875" style="526"/>
    <col min="1254" max="1254" width="8.44140625" style="526" customWidth="1"/>
    <col min="1255" max="1255" width="14" style="526" customWidth="1"/>
    <col min="1256" max="1256" width="17.88671875" style="526" customWidth="1"/>
    <col min="1257" max="1257" width="45" style="526" bestFit="1" customWidth="1"/>
    <col min="1258" max="1258" width="61.6640625" style="526" customWidth="1"/>
    <col min="1259" max="1259" width="20.44140625" style="526" customWidth="1"/>
    <col min="1260" max="1260" width="22.88671875" style="526" customWidth="1"/>
    <col min="1261" max="1261" width="25.109375" style="526" customWidth="1"/>
    <col min="1262" max="1509" width="9.88671875" style="526"/>
    <col min="1510" max="1510" width="8.44140625" style="526" customWidth="1"/>
    <col min="1511" max="1511" width="14" style="526" customWidth="1"/>
    <col min="1512" max="1512" width="17.88671875" style="526" customWidth="1"/>
    <col min="1513" max="1513" width="45" style="526" bestFit="1" customWidth="1"/>
    <col min="1514" max="1514" width="61.6640625" style="526" customWidth="1"/>
    <col min="1515" max="1515" width="20.44140625" style="526" customWidth="1"/>
    <col min="1516" max="1516" width="22.88671875" style="526" customWidth="1"/>
    <col min="1517" max="1517" width="25.109375" style="526" customWidth="1"/>
    <col min="1518" max="1765" width="9.88671875" style="526"/>
    <col min="1766" max="1766" width="8.44140625" style="526" customWidth="1"/>
    <col min="1767" max="1767" width="14" style="526" customWidth="1"/>
    <col min="1768" max="1768" width="17.88671875" style="526" customWidth="1"/>
    <col min="1769" max="1769" width="45" style="526" bestFit="1" customWidth="1"/>
    <col min="1770" max="1770" width="61.6640625" style="526" customWidth="1"/>
    <col min="1771" max="1771" width="20.44140625" style="526" customWidth="1"/>
    <col min="1772" max="1772" width="22.88671875" style="526" customWidth="1"/>
    <col min="1773" max="1773" width="25.109375" style="526" customWidth="1"/>
    <col min="1774" max="2021" width="9.88671875" style="526"/>
    <col min="2022" max="2022" width="8.44140625" style="526" customWidth="1"/>
    <col min="2023" max="2023" width="14" style="526" customWidth="1"/>
    <col min="2024" max="2024" width="17.88671875" style="526" customWidth="1"/>
    <col min="2025" max="2025" width="45" style="526" bestFit="1" customWidth="1"/>
    <col min="2026" max="2026" width="61.6640625" style="526" customWidth="1"/>
    <col min="2027" max="2027" width="20.44140625" style="526" customWidth="1"/>
    <col min="2028" max="2028" width="22.88671875" style="526" customWidth="1"/>
    <col min="2029" max="2029" width="25.109375" style="526" customWidth="1"/>
    <col min="2030" max="2277" width="9.88671875" style="526"/>
    <col min="2278" max="2278" width="8.44140625" style="526" customWidth="1"/>
    <col min="2279" max="2279" width="14" style="526" customWidth="1"/>
    <col min="2280" max="2280" width="17.88671875" style="526" customWidth="1"/>
    <col min="2281" max="2281" width="45" style="526" bestFit="1" customWidth="1"/>
    <col min="2282" max="2282" width="61.6640625" style="526" customWidth="1"/>
    <col min="2283" max="2283" width="20.44140625" style="526" customWidth="1"/>
    <col min="2284" max="2284" width="22.88671875" style="526" customWidth="1"/>
    <col min="2285" max="2285" width="25.109375" style="526" customWidth="1"/>
    <col min="2286" max="2533" width="9.88671875" style="526"/>
    <col min="2534" max="2534" width="8.44140625" style="526" customWidth="1"/>
    <col min="2535" max="2535" width="14" style="526" customWidth="1"/>
    <col min="2536" max="2536" width="17.88671875" style="526" customWidth="1"/>
    <col min="2537" max="2537" width="45" style="526" bestFit="1" customWidth="1"/>
    <col min="2538" max="2538" width="61.6640625" style="526" customWidth="1"/>
    <col min="2539" max="2539" width="20.44140625" style="526" customWidth="1"/>
    <col min="2540" max="2540" width="22.88671875" style="526" customWidth="1"/>
    <col min="2541" max="2541" width="25.109375" style="526" customWidth="1"/>
    <col min="2542" max="2789" width="9.88671875" style="526"/>
    <col min="2790" max="2790" width="8.44140625" style="526" customWidth="1"/>
    <col min="2791" max="2791" width="14" style="526" customWidth="1"/>
    <col min="2792" max="2792" width="17.88671875" style="526" customWidth="1"/>
    <col min="2793" max="2793" width="45" style="526" bestFit="1" customWidth="1"/>
    <col min="2794" max="2794" width="61.6640625" style="526" customWidth="1"/>
    <col min="2795" max="2795" width="20.44140625" style="526" customWidth="1"/>
    <col min="2796" max="2796" width="22.88671875" style="526" customWidth="1"/>
    <col min="2797" max="2797" width="25.109375" style="526" customWidth="1"/>
    <col min="2798" max="3045" width="9.88671875" style="526"/>
    <col min="3046" max="3046" width="8.44140625" style="526" customWidth="1"/>
    <col min="3047" max="3047" width="14" style="526" customWidth="1"/>
    <col min="3048" max="3048" width="17.88671875" style="526" customWidth="1"/>
    <col min="3049" max="3049" width="45" style="526" bestFit="1" customWidth="1"/>
    <col min="3050" max="3050" width="61.6640625" style="526" customWidth="1"/>
    <col min="3051" max="3051" width="20.44140625" style="526" customWidth="1"/>
    <col min="3052" max="3052" width="22.88671875" style="526" customWidth="1"/>
    <col min="3053" max="3053" width="25.109375" style="526" customWidth="1"/>
    <col min="3054" max="3301" width="9.88671875" style="526"/>
    <col min="3302" max="3302" width="8.44140625" style="526" customWidth="1"/>
    <col min="3303" max="3303" width="14" style="526" customWidth="1"/>
    <col min="3304" max="3304" width="17.88671875" style="526" customWidth="1"/>
    <col min="3305" max="3305" width="45" style="526" bestFit="1" customWidth="1"/>
    <col min="3306" max="3306" width="61.6640625" style="526" customWidth="1"/>
    <col min="3307" max="3307" width="20.44140625" style="526" customWidth="1"/>
    <col min="3308" max="3308" width="22.88671875" style="526" customWidth="1"/>
    <col min="3309" max="3309" width="25.109375" style="526" customWidth="1"/>
    <col min="3310" max="3557" width="9.88671875" style="526"/>
    <col min="3558" max="3558" width="8.44140625" style="526" customWidth="1"/>
    <col min="3559" max="3559" width="14" style="526" customWidth="1"/>
    <col min="3560" max="3560" width="17.88671875" style="526" customWidth="1"/>
    <col min="3561" max="3561" width="45" style="526" bestFit="1" customWidth="1"/>
    <col min="3562" max="3562" width="61.6640625" style="526" customWidth="1"/>
    <col min="3563" max="3563" width="20.44140625" style="526" customWidth="1"/>
    <col min="3564" max="3564" width="22.88671875" style="526" customWidth="1"/>
    <col min="3565" max="3565" width="25.109375" style="526" customWidth="1"/>
    <col min="3566" max="3813" width="9.88671875" style="526"/>
    <col min="3814" max="3814" width="8.44140625" style="526" customWidth="1"/>
    <col min="3815" max="3815" width="14" style="526" customWidth="1"/>
    <col min="3816" max="3816" width="17.88671875" style="526" customWidth="1"/>
    <col min="3817" max="3817" width="45" style="526" bestFit="1" customWidth="1"/>
    <col min="3818" max="3818" width="61.6640625" style="526" customWidth="1"/>
    <col min="3819" max="3819" width="20.44140625" style="526" customWidth="1"/>
    <col min="3820" max="3820" width="22.88671875" style="526" customWidth="1"/>
    <col min="3821" max="3821" width="25.109375" style="526" customWidth="1"/>
    <col min="3822" max="4069" width="9.88671875" style="526"/>
    <col min="4070" max="4070" width="8.44140625" style="526" customWidth="1"/>
    <col min="4071" max="4071" width="14" style="526" customWidth="1"/>
    <col min="4072" max="4072" width="17.88671875" style="526" customWidth="1"/>
    <col min="4073" max="4073" width="45" style="526" bestFit="1" customWidth="1"/>
    <col min="4074" max="4074" width="61.6640625" style="526" customWidth="1"/>
    <col min="4075" max="4075" width="20.44140625" style="526" customWidth="1"/>
    <col min="4076" max="4076" width="22.88671875" style="526" customWidth="1"/>
    <col min="4077" max="4077" width="25.109375" style="526" customWidth="1"/>
    <col min="4078" max="4325" width="9.88671875" style="526"/>
    <col min="4326" max="4326" width="8.44140625" style="526" customWidth="1"/>
    <col min="4327" max="4327" width="14" style="526" customWidth="1"/>
    <col min="4328" max="4328" width="17.88671875" style="526" customWidth="1"/>
    <col min="4329" max="4329" width="45" style="526" bestFit="1" customWidth="1"/>
    <col min="4330" max="4330" width="61.6640625" style="526" customWidth="1"/>
    <col min="4331" max="4331" width="20.44140625" style="526" customWidth="1"/>
    <col min="4332" max="4332" width="22.88671875" style="526" customWidth="1"/>
    <col min="4333" max="4333" width="25.109375" style="526" customWidth="1"/>
    <col min="4334" max="4581" width="9.88671875" style="526"/>
    <col min="4582" max="4582" width="8.44140625" style="526" customWidth="1"/>
    <col min="4583" max="4583" width="14" style="526" customWidth="1"/>
    <col min="4584" max="4584" width="17.88671875" style="526" customWidth="1"/>
    <col min="4585" max="4585" width="45" style="526" bestFit="1" customWidth="1"/>
    <col min="4586" max="4586" width="61.6640625" style="526" customWidth="1"/>
    <col min="4587" max="4587" width="20.44140625" style="526" customWidth="1"/>
    <col min="4588" max="4588" width="22.88671875" style="526" customWidth="1"/>
    <col min="4589" max="4589" width="25.109375" style="526" customWidth="1"/>
    <col min="4590" max="4837" width="9.88671875" style="526"/>
    <col min="4838" max="4838" width="8.44140625" style="526" customWidth="1"/>
    <col min="4839" max="4839" width="14" style="526" customWidth="1"/>
    <col min="4840" max="4840" width="17.88671875" style="526" customWidth="1"/>
    <col min="4841" max="4841" width="45" style="526" bestFit="1" customWidth="1"/>
    <col min="4842" max="4842" width="61.6640625" style="526" customWidth="1"/>
    <col min="4843" max="4843" width="20.44140625" style="526" customWidth="1"/>
    <col min="4844" max="4844" width="22.88671875" style="526" customWidth="1"/>
    <col min="4845" max="4845" width="25.109375" style="526" customWidth="1"/>
    <col min="4846" max="5093" width="9.88671875" style="526"/>
    <col min="5094" max="5094" width="8.44140625" style="526" customWidth="1"/>
    <col min="5095" max="5095" width="14" style="526" customWidth="1"/>
    <col min="5096" max="5096" width="17.88671875" style="526" customWidth="1"/>
    <col min="5097" max="5097" width="45" style="526" bestFit="1" customWidth="1"/>
    <col min="5098" max="5098" width="61.6640625" style="526" customWidth="1"/>
    <col min="5099" max="5099" width="20.44140625" style="526" customWidth="1"/>
    <col min="5100" max="5100" width="22.88671875" style="526" customWidth="1"/>
    <col min="5101" max="5101" width="25.109375" style="526" customWidth="1"/>
    <col min="5102" max="5349" width="9.88671875" style="526"/>
    <col min="5350" max="5350" width="8.44140625" style="526" customWidth="1"/>
    <col min="5351" max="5351" width="14" style="526" customWidth="1"/>
    <col min="5352" max="5352" width="17.88671875" style="526" customWidth="1"/>
    <col min="5353" max="5353" width="45" style="526" bestFit="1" customWidth="1"/>
    <col min="5354" max="5354" width="61.6640625" style="526" customWidth="1"/>
    <col min="5355" max="5355" width="20.44140625" style="526" customWidth="1"/>
    <col min="5356" max="5356" width="22.88671875" style="526" customWidth="1"/>
    <col min="5357" max="5357" width="25.109375" style="526" customWidth="1"/>
    <col min="5358" max="5605" width="9.88671875" style="526"/>
    <col min="5606" max="5606" width="8.44140625" style="526" customWidth="1"/>
    <col min="5607" max="5607" width="14" style="526" customWidth="1"/>
    <col min="5608" max="5608" width="17.88671875" style="526" customWidth="1"/>
    <col min="5609" max="5609" width="45" style="526" bestFit="1" customWidth="1"/>
    <col min="5610" max="5610" width="61.6640625" style="526" customWidth="1"/>
    <col min="5611" max="5611" width="20.44140625" style="526" customWidth="1"/>
    <col min="5612" max="5612" width="22.88671875" style="526" customWidth="1"/>
    <col min="5613" max="5613" width="25.109375" style="526" customWidth="1"/>
    <col min="5614" max="5861" width="9.88671875" style="526"/>
    <col min="5862" max="5862" width="8.44140625" style="526" customWidth="1"/>
    <col min="5863" max="5863" width="14" style="526" customWidth="1"/>
    <col min="5864" max="5864" width="17.88671875" style="526" customWidth="1"/>
    <col min="5865" max="5865" width="45" style="526" bestFit="1" customWidth="1"/>
    <col min="5866" max="5866" width="61.6640625" style="526" customWidth="1"/>
    <col min="5867" max="5867" width="20.44140625" style="526" customWidth="1"/>
    <col min="5868" max="5868" width="22.88671875" style="526" customWidth="1"/>
    <col min="5869" max="5869" width="25.109375" style="526" customWidth="1"/>
    <col min="5870" max="6117" width="9.88671875" style="526"/>
    <col min="6118" max="6118" width="8.44140625" style="526" customWidth="1"/>
    <col min="6119" max="6119" width="14" style="526" customWidth="1"/>
    <col min="6120" max="6120" width="17.88671875" style="526" customWidth="1"/>
    <col min="6121" max="6121" width="45" style="526" bestFit="1" customWidth="1"/>
    <col min="6122" max="6122" width="61.6640625" style="526" customWidth="1"/>
    <col min="6123" max="6123" width="20.44140625" style="526" customWidth="1"/>
    <col min="6124" max="6124" width="22.88671875" style="526" customWidth="1"/>
    <col min="6125" max="6125" width="25.109375" style="526" customWidth="1"/>
    <col min="6126" max="6373" width="9.88671875" style="526"/>
    <col min="6374" max="6374" width="8.44140625" style="526" customWidth="1"/>
    <col min="6375" max="6375" width="14" style="526" customWidth="1"/>
    <col min="6376" max="6376" width="17.88671875" style="526" customWidth="1"/>
    <col min="6377" max="6377" width="45" style="526" bestFit="1" customWidth="1"/>
    <col min="6378" max="6378" width="61.6640625" style="526" customWidth="1"/>
    <col min="6379" max="6379" width="20.44140625" style="526" customWidth="1"/>
    <col min="6380" max="6380" width="22.88671875" style="526" customWidth="1"/>
    <col min="6381" max="6381" width="25.109375" style="526" customWidth="1"/>
    <col min="6382" max="6629" width="9.88671875" style="526"/>
    <col min="6630" max="6630" width="8.44140625" style="526" customWidth="1"/>
    <col min="6631" max="6631" width="14" style="526" customWidth="1"/>
    <col min="6632" max="6632" width="17.88671875" style="526" customWidth="1"/>
    <col min="6633" max="6633" width="45" style="526" bestFit="1" customWidth="1"/>
    <col min="6634" max="6634" width="61.6640625" style="526" customWidth="1"/>
    <col min="6635" max="6635" width="20.44140625" style="526" customWidth="1"/>
    <col min="6636" max="6636" width="22.88671875" style="526" customWidth="1"/>
    <col min="6637" max="6637" width="25.109375" style="526" customWidth="1"/>
    <col min="6638" max="6885" width="9.88671875" style="526"/>
    <col min="6886" max="6886" width="8.44140625" style="526" customWidth="1"/>
    <col min="6887" max="6887" width="14" style="526" customWidth="1"/>
    <col min="6888" max="6888" width="17.88671875" style="526" customWidth="1"/>
    <col min="6889" max="6889" width="45" style="526" bestFit="1" customWidth="1"/>
    <col min="6890" max="6890" width="61.6640625" style="526" customWidth="1"/>
    <col min="6891" max="6891" width="20.44140625" style="526" customWidth="1"/>
    <col min="6892" max="6892" width="22.88671875" style="526" customWidth="1"/>
    <col min="6893" max="6893" width="25.109375" style="526" customWidth="1"/>
    <col min="6894" max="7141" width="9.88671875" style="526"/>
    <col min="7142" max="7142" width="8.44140625" style="526" customWidth="1"/>
    <col min="7143" max="7143" width="14" style="526" customWidth="1"/>
    <col min="7144" max="7144" width="17.88671875" style="526" customWidth="1"/>
    <col min="7145" max="7145" width="45" style="526" bestFit="1" customWidth="1"/>
    <col min="7146" max="7146" width="61.6640625" style="526" customWidth="1"/>
    <col min="7147" max="7147" width="20.44140625" style="526" customWidth="1"/>
    <col min="7148" max="7148" width="22.88671875" style="526" customWidth="1"/>
    <col min="7149" max="7149" width="25.109375" style="526" customWidth="1"/>
    <col min="7150" max="7397" width="9.88671875" style="526"/>
    <col min="7398" max="7398" width="8.44140625" style="526" customWidth="1"/>
    <col min="7399" max="7399" width="14" style="526" customWidth="1"/>
    <col min="7400" max="7400" width="17.88671875" style="526" customWidth="1"/>
    <col min="7401" max="7401" width="45" style="526" bestFit="1" customWidth="1"/>
    <col min="7402" max="7402" width="61.6640625" style="526" customWidth="1"/>
    <col min="7403" max="7403" width="20.44140625" style="526" customWidth="1"/>
    <col min="7404" max="7404" width="22.88671875" style="526" customWidth="1"/>
    <col min="7405" max="7405" width="25.109375" style="526" customWidth="1"/>
    <col min="7406" max="7653" width="9.88671875" style="526"/>
    <col min="7654" max="7654" width="8.44140625" style="526" customWidth="1"/>
    <col min="7655" max="7655" width="14" style="526" customWidth="1"/>
    <col min="7656" max="7656" width="17.88671875" style="526" customWidth="1"/>
    <col min="7657" max="7657" width="45" style="526" bestFit="1" customWidth="1"/>
    <col min="7658" max="7658" width="61.6640625" style="526" customWidth="1"/>
    <col min="7659" max="7659" width="20.44140625" style="526" customWidth="1"/>
    <col min="7660" max="7660" width="22.88671875" style="526" customWidth="1"/>
    <col min="7661" max="7661" width="25.109375" style="526" customWidth="1"/>
    <col min="7662" max="7909" width="9.88671875" style="526"/>
    <col min="7910" max="7910" width="8.44140625" style="526" customWidth="1"/>
    <col min="7911" max="7911" width="14" style="526" customWidth="1"/>
    <col min="7912" max="7912" width="17.88671875" style="526" customWidth="1"/>
    <col min="7913" max="7913" width="45" style="526" bestFit="1" customWidth="1"/>
    <col min="7914" max="7914" width="61.6640625" style="526" customWidth="1"/>
    <col min="7915" max="7915" width="20.44140625" style="526" customWidth="1"/>
    <col min="7916" max="7916" width="22.88671875" style="526" customWidth="1"/>
    <col min="7917" max="7917" width="25.109375" style="526" customWidth="1"/>
    <col min="7918" max="8165" width="9.88671875" style="526"/>
    <col min="8166" max="8166" width="8.44140625" style="526" customWidth="1"/>
    <col min="8167" max="8167" width="14" style="526" customWidth="1"/>
    <col min="8168" max="8168" width="17.88671875" style="526" customWidth="1"/>
    <col min="8169" max="8169" width="45" style="526" bestFit="1" customWidth="1"/>
    <col min="8170" max="8170" width="61.6640625" style="526" customWidth="1"/>
    <col min="8171" max="8171" width="20.44140625" style="526" customWidth="1"/>
    <col min="8172" max="8172" width="22.88671875" style="526" customWidth="1"/>
    <col min="8173" max="8173" width="25.109375" style="526" customWidth="1"/>
    <col min="8174" max="8421" width="9.88671875" style="526"/>
    <col min="8422" max="8422" width="8.44140625" style="526" customWidth="1"/>
    <col min="8423" max="8423" width="14" style="526" customWidth="1"/>
    <col min="8424" max="8424" width="17.88671875" style="526" customWidth="1"/>
    <col min="8425" max="8425" width="45" style="526" bestFit="1" customWidth="1"/>
    <col min="8426" max="8426" width="61.6640625" style="526" customWidth="1"/>
    <col min="8427" max="8427" width="20.44140625" style="526" customWidth="1"/>
    <col min="8428" max="8428" width="22.88671875" style="526" customWidth="1"/>
    <col min="8429" max="8429" width="25.109375" style="526" customWidth="1"/>
    <col min="8430" max="8677" width="9.88671875" style="526"/>
    <col min="8678" max="8678" width="8.44140625" style="526" customWidth="1"/>
    <col min="8679" max="8679" width="14" style="526" customWidth="1"/>
    <col min="8680" max="8680" width="17.88671875" style="526" customWidth="1"/>
    <col min="8681" max="8681" width="45" style="526" bestFit="1" customWidth="1"/>
    <col min="8682" max="8682" width="61.6640625" style="526" customWidth="1"/>
    <col min="8683" max="8683" width="20.44140625" style="526" customWidth="1"/>
    <col min="8684" max="8684" width="22.88671875" style="526" customWidth="1"/>
    <col min="8685" max="8685" width="25.109375" style="526" customWidth="1"/>
    <col min="8686" max="8933" width="9.88671875" style="526"/>
    <col min="8934" max="8934" width="8.44140625" style="526" customWidth="1"/>
    <col min="8935" max="8935" width="14" style="526" customWidth="1"/>
    <col min="8936" max="8936" width="17.88671875" style="526" customWidth="1"/>
    <col min="8937" max="8937" width="45" style="526" bestFit="1" customWidth="1"/>
    <col min="8938" max="8938" width="61.6640625" style="526" customWidth="1"/>
    <col min="8939" max="8939" width="20.44140625" style="526" customWidth="1"/>
    <col min="8940" max="8940" width="22.88671875" style="526" customWidth="1"/>
    <col min="8941" max="8941" width="25.109375" style="526" customWidth="1"/>
    <col min="8942" max="9189" width="9.88671875" style="526"/>
    <col min="9190" max="9190" width="8.44140625" style="526" customWidth="1"/>
    <col min="9191" max="9191" width="14" style="526" customWidth="1"/>
    <col min="9192" max="9192" width="17.88671875" style="526" customWidth="1"/>
    <col min="9193" max="9193" width="45" style="526" bestFit="1" customWidth="1"/>
    <col min="9194" max="9194" width="61.6640625" style="526" customWidth="1"/>
    <col min="9195" max="9195" width="20.44140625" style="526" customWidth="1"/>
    <col min="9196" max="9196" width="22.88671875" style="526" customWidth="1"/>
    <col min="9197" max="9197" width="25.109375" style="526" customWidth="1"/>
    <col min="9198" max="9445" width="9.88671875" style="526"/>
    <col min="9446" max="9446" width="8.44140625" style="526" customWidth="1"/>
    <col min="9447" max="9447" width="14" style="526" customWidth="1"/>
    <col min="9448" max="9448" width="17.88671875" style="526" customWidth="1"/>
    <col min="9449" max="9449" width="45" style="526" bestFit="1" customWidth="1"/>
    <col min="9450" max="9450" width="61.6640625" style="526" customWidth="1"/>
    <col min="9451" max="9451" width="20.44140625" style="526" customWidth="1"/>
    <col min="9452" max="9452" width="22.88671875" style="526" customWidth="1"/>
    <col min="9453" max="9453" width="25.109375" style="526" customWidth="1"/>
    <col min="9454" max="9701" width="9.88671875" style="526"/>
    <col min="9702" max="9702" width="8.44140625" style="526" customWidth="1"/>
    <col min="9703" max="9703" width="14" style="526" customWidth="1"/>
    <col min="9704" max="9704" width="17.88671875" style="526" customWidth="1"/>
    <col min="9705" max="9705" width="45" style="526" bestFit="1" customWidth="1"/>
    <col min="9706" max="9706" width="61.6640625" style="526" customWidth="1"/>
    <col min="9707" max="9707" width="20.44140625" style="526" customWidth="1"/>
    <col min="9708" max="9708" width="22.88671875" style="526" customWidth="1"/>
    <col min="9709" max="9709" width="25.109375" style="526" customWidth="1"/>
    <col min="9710" max="9957" width="9.88671875" style="526"/>
    <col min="9958" max="9958" width="8.44140625" style="526" customWidth="1"/>
    <col min="9959" max="9959" width="14" style="526" customWidth="1"/>
    <col min="9960" max="9960" width="17.88671875" style="526" customWidth="1"/>
    <col min="9961" max="9961" width="45" style="526" bestFit="1" customWidth="1"/>
    <col min="9962" max="9962" width="61.6640625" style="526" customWidth="1"/>
    <col min="9963" max="9963" width="20.44140625" style="526" customWidth="1"/>
    <col min="9964" max="9964" width="22.88671875" style="526" customWidth="1"/>
    <col min="9965" max="9965" width="25.109375" style="526" customWidth="1"/>
    <col min="9966" max="10213" width="9.88671875" style="526"/>
    <col min="10214" max="10214" width="8.44140625" style="526" customWidth="1"/>
    <col min="10215" max="10215" width="14" style="526" customWidth="1"/>
    <col min="10216" max="10216" width="17.88671875" style="526" customWidth="1"/>
    <col min="10217" max="10217" width="45" style="526" bestFit="1" customWidth="1"/>
    <col min="10218" max="10218" width="61.6640625" style="526" customWidth="1"/>
    <col min="10219" max="10219" width="20.44140625" style="526" customWidth="1"/>
    <col min="10220" max="10220" width="22.88671875" style="526" customWidth="1"/>
    <col min="10221" max="10221" width="25.109375" style="526" customWidth="1"/>
    <col min="10222" max="10469" width="9.88671875" style="526"/>
    <col min="10470" max="10470" width="8.44140625" style="526" customWidth="1"/>
    <col min="10471" max="10471" width="14" style="526" customWidth="1"/>
    <col min="10472" max="10472" width="17.88671875" style="526" customWidth="1"/>
    <col min="10473" max="10473" width="45" style="526" bestFit="1" customWidth="1"/>
    <col min="10474" max="10474" width="61.6640625" style="526" customWidth="1"/>
    <col min="10475" max="10475" width="20.44140625" style="526" customWidth="1"/>
    <col min="10476" max="10476" width="22.88671875" style="526" customWidth="1"/>
    <col min="10477" max="10477" width="25.109375" style="526" customWidth="1"/>
    <col min="10478" max="10725" width="9.88671875" style="526"/>
    <col min="10726" max="10726" width="8.44140625" style="526" customWidth="1"/>
    <col min="10727" max="10727" width="14" style="526" customWidth="1"/>
    <col min="10728" max="10728" width="17.88671875" style="526" customWidth="1"/>
    <col min="10729" max="10729" width="45" style="526" bestFit="1" customWidth="1"/>
    <col min="10730" max="10730" width="61.6640625" style="526" customWidth="1"/>
    <col min="10731" max="10731" width="20.44140625" style="526" customWidth="1"/>
    <col min="10732" max="10732" width="22.88671875" style="526" customWidth="1"/>
    <col min="10733" max="10733" width="25.109375" style="526" customWidth="1"/>
    <col min="10734" max="10981" width="9.88671875" style="526"/>
    <col min="10982" max="10982" width="8.44140625" style="526" customWidth="1"/>
    <col min="10983" max="10983" width="14" style="526" customWidth="1"/>
    <col min="10984" max="10984" width="17.88671875" style="526" customWidth="1"/>
    <col min="10985" max="10985" width="45" style="526" bestFit="1" customWidth="1"/>
    <col min="10986" max="10986" width="61.6640625" style="526" customWidth="1"/>
    <col min="10987" max="10987" width="20.44140625" style="526" customWidth="1"/>
    <col min="10988" max="10988" width="22.88671875" style="526" customWidth="1"/>
    <col min="10989" max="10989" width="25.109375" style="526" customWidth="1"/>
    <col min="10990" max="11237" width="9.88671875" style="526"/>
    <col min="11238" max="11238" width="8.44140625" style="526" customWidth="1"/>
    <col min="11239" max="11239" width="14" style="526" customWidth="1"/>
    <col min="11240" max="11240" width="17.88671875" style="526" customWidth="1"/>
    <col min="11241" max="11241" width="45" style="526" bestFit="1" customWidth="1"/>
    <col min="11242" max="11242" width="61.6640625" style="526" customWidth="1"/>
    <col min="11243" max="11243" width="20.44140625" style="526" customWidth="1"/>
    <col min="11244" max="11244" width="22.88671875" style="526" customWidth="1"/>
    <col min="11245" max="11245" width="25.109375" style="526" customWidth="1"/>
    <col min="11246" max="11493" width="9.88671875" style="526"/>
    <col min="11494" max="11494" width="8.44140625" style="526" customWidth="1"/>
    <col min="11495" max="11495" width="14" style="526" customWidth="1"/>
    <col min="11496" max="11496" width="17.88671875" style="526" customWidth="1"/>
    <col min="11497" max="11497" width="45" style="526" bestFit="1" customWidth="1"/>
    <col min="11498" max="11498" width="61.6640625" style="526" customWidth="1"/>
    <col min="11499" max="11499" width="20.44140625" style="526" customWidth="1"/>
    <col min="11500" max="11500" width="22.88671875" style="526" customWidth="1"/>
    <col min="11501" max="11501" width="25.109375" style="526" customWidth="1"/>
    <col min="11502" max="11749" width="9.88671875" style="526"/>
    <col min="11750" max="11750" width="8.44140625" style="526" customWidth="1"/>
    <col min="11751" max="11751" width="14" style="526" customWidth="1"/>
    <col min="11752" max="11752" width="17.88671875" style="526" customWidth="1"/>
    <col min="11753" max="11753" width="45" style="526" bestFit="1" customWidth="1"/>
    <col min="11754" max="11754" width="61.6640625" style="526" customWidth="1"/>
    <col min="11755" max="11755" width="20.44140625" style="526" customWidth="1"/>
    <col min="11756" max="11756" width="22.88671875" style="526" customWidth="1"/>
    <col min="11757" max="11757" width="25.109375" style="526" customWidth="1"/>
    <col min="11758" max="12005" width="9.88671875" style="526"/>
    <col min="12006" max="12006" width="8.44140625" style="526" customWidth="1"/>
    <col min="12007" max="12007" width="14" style="526" customWidth="1"/>
    <col min="12008" max="12008" width="17.88671875" style="526" customWidth="1"/>
    <col min="12009" max="12009" width="45" style="526" bestFit="1" customWidth="1"/>
    <col min="12010" max="12010" width="61.6640625" style="526" customWidth="1"/>
    <col min="12011" max="12011" width="20.44140625" style="526" customWidth="1"/>
    <col min="12012" max="12012" width="22.88671875" style="526" customWidth="1"/>
    <col min="12013" max="12013" width="25.109375" style="526" customWidth="1"/>
    <col min="12014" max="12261" width="9.88671875" style="526"/>
    <col min="12262" max="12262" width="8.44140625" style="526" customWidth="1"/>
    <col min="12263" max="12263" width="14" style="526" customWidth="1"/>
    <col min="12264" max="12264" width="17.88671875" style="526" customWidth="1"/>
    <col min="12265" max="12265" width="45" style="526" bestFit="1" customWidth="1"/>
    <col min="12266" max="12266" width="61.6640625" style="526" customWidth="1"/>
    <col min="12267" max="12267" width="20.44140625" style="526" customWidth="1"/>
    <col min="12268" max="12268" width="22.88671875" style="526" customWidth="1"/>
    <col min="12269" max="12269" width="25.109375" style="526" customWidth="1"/>
    <col min="12270" max="12517" width="9.88671875" style="526"/>
    <col min="12518" max="12518" width="8.44140625" style="526" customWidth="1"/>
    <col min="12519" max="12519" width="14" style="526" customWidth="1"/>
    <col min="12520" max="12520" width="17.88671875" style="526" customWidth="1"/>
    <col min="12521" max="12521" width="45" style="526" bestFit="1" customWidth="1"/>
    <col min="12522" max="12522" width="61.6640625" style="526" customWidth="1"/>
    <col min="12523" max="12523" width="20.44140625" style="526" customWidth="1"/>
    <col min="12524" max="12524" width="22.88671875" style="526" customWidth="1"/>
    <col min="12525" max="12525" width="25.109375" style="526" customWidth="1"/>
    <col min="12526" max="12773" width="9.88671875" style="526"/>
    <col min="12774" max="12774" width="8.44140625" style="526" customWidth="1"/>
    <col min="12775" max="12775" width="14" style="526" customWidth="1"/>
    <col min="12776" max="12776" width="17.88671875" style="526" customWidth="1"/>
    <col min="12777" max="12777" width="45" style="526" bestFit="1" customWidth="1"/>
    <col min="12778" max="12778" width="61.6640625" style="526" customWidth="1"/>
    <col min="12779" max="12779" width="20.44140625" style="526" customWidth="1"/>
    <col min="12780" max="12780" width="22.88671875" style="526" customWidth="1"/>
    <col min="12781" max="12781" width="25.109375" style="526" customWidth="1"/>
    <col min="12782" max="13029" width="9.88671875" style="526"/>
    <col min="13030" max="13030" width="8.44140625" style="526" customWidth="1"/>
    <col min="13031" max="13031" width="14" style="526" customWidth="1"/>
    <col min="13032" max="13032" width="17.88671875" style="526" customWidth="1"/>
    <col min="13033" max="13033" width="45" style="526" bestFit="1" customWidth="1"/>
    <col min="13034" max="13034" width="61.6640625" style="526" customWidth="1"/>
    <col min="13035" max="13035" width="20.44140625" style="526" customWidth="1"/>
    <col min="13036" max="13036" width="22.88671875" style="526" customWidth="1"/>
    <col min="13037" max="13037" width="25.109375" style="526" customWidth="1"/>
    <col min="13038" max="13285" width="9.88671875" style="526"/>
    <col min="13286" max="13286" width="8.44140625" style="526" customWidth="1"/>
    <col min="13287" max="13287" width="14" style="526" customWidth="1"/>
    <col min="13288" max="13288" width="17.88671875" style="526" customWidth="1"/>
    <col min="13289" max="13289" width="45" style="526" bestFit="1" customWidth="1"/>
    <col min="13290" max="13290" width="61.6640625" style="526" customWidth="1"/>
    <col min="13291" max="13291" width="20.44140625" style="526" customWidth="1"/>
    <col min="13292" max="13292" width="22.88671875" style="526" customWidth="1"/>
    <col min="13293" max="13293" width="25.109375" style="526" customWidth="1"/>
    <col min="13294" max="13541" width="9.88671875" style="526"/>
    <col min="13542" max="13542" width="8.44140625" style="526" customWidth="1"/>
    <col min="13543" max="13543" width="14" style="526" customWidth="1"/>
    <col min="13544" max="13544" width="17.88671875" style="526" customWidth="1"/>
    <col min="13545" max="13545" width="45" style="526" bestFit="1" customWidth="1"/>
    <col min="13546" max="13546" width="61.6640625" style="526" customWidth="1"/>
    <col min="13547" max="13547" width="20.44140625" style="526" customWidth="1"/>
    <col min="13548" max="13548" width="22.88671875" style="526" customWidth="1"/>
    <col min="13549" max="13549" width="25.109375" style="526" customWidth="1"/>
    <col min="13550" max="13797" width="9.88671875" style="526"/>
    <col min="13798" max="13798" width="8.44140625" style="526" customWidth="1"/>
    <col min="13799" max="13799" width="14" style="526" customWidth="1"/>
    <col min="13800" max="13800" width="17.88671875" style="526" customWidth="1"/>
    <col min="13801" max="13801" width="45" style="526" bestFit="1" customWidth="1"/>
    <col min="13802" max="13802" width="61.6640625" style="526" customWidth="1"/>
    <col min="13803" max="13803" width="20.44140625" style="526" customWidth="1"/>
    <col min="13804" max="13804" width="22.88671875" style="526" customWidth="1"/>
    <col min="13805" max="13805" width="25.109375" style="526" customWidth="1"/>
    <col min="13806" max="14053" width="9.88671875" style="526"/>
    <col min="14054" max="14054" width="8.44140625" style="526" customWidth="1"/>
    <col min="14055" max="14055" width="14" style="526" customWidth="1"/>
    <col min="14056" max="14056" width="17.88671875" style="526" customWidth="1"/>
    <col min="14057" max="14057" width="45" style="526" bestFit="1" customWidth="1"/>
    <col min="14058" max="14058" width="61.6640625" style="526" customWidth="1"/>
    <col min="14059" max="14059" width="20.44140625" style="526" customWidth="1"/>
    <col min="14060" max="14060" width="22.88671875" style="526" customWidth="1"/>
    <col min="14061" max="14061" width="25.109375" style="526" customWidth="1"/>
    <col min="14062" max="14309" width="9.88671875" style="526"/>
    <col min="14310" max="14310" width="8.44140625" style="526" customWidth="1"/>
    <col min="14311" max="14311" width="14" style="526" customWidth="1"/>
    <col min="14312" max="14312" width="17.88671875" style="526" customWidth="1"/>
    <col min="14313" max="14313" width="45" style="526" bestFit="1" customWidth="1"/>
    <col min="14314" max="14314" width="61.6640625" style="526" customWidth="1"/>
    <col min="14315" max="14315" width="20.44140625" style="526" customWidth="1"/>
    <col min="14316" max="14316" width="22.88671875" style="526" customWidth="1"/>
    <col min="14317" max="14317" width="25.109375" style="526" customWidth="1"/>
    <col min="14318" max="14565" width="9.88671875" style="526"/>
    <col min="14566" max="14566" width="8.44140625" style="526" customWidth="1"/>
    <col min="14567" max="14567" width="14" style="526" customWidth="1"/>
    <col min="14568" max="14568" width="17.88671875" style="526" customWidth="1"/>
    <col min="14569" max="14569" width="45" style="526" bestFit="1" customWidth="1"/>
    <col min="14570" max="14570" width="61.6640625" style="526" customWidth="1"/>
    <col min="14571" max="14571" width="20.44140625" style="526" customWidth="1"/>
    <col min="14572" max="14572" width="22.88671875" style="526" customWidth="1"/>
    <col min="14573" max="14573" width="25.109375" style="526" customWidth="1"/>
    <col min="14574" max="14821" width="9.88671875" style="526"/>
    <col min="14822" max="14822" width="8.44140625" style="526" customWidth="1"/>
    <col min="14823" max="14823" width="14" style="526" customWidth="1"/>
    <col min="14824" max="14824" width="17.88671875" style="526" customWidth="1"/>
    <col min="14825" max="14825" width="45" style="526" bestFit="1" customWidth="1"/>
    <col min="14826" max="14826" width="61.6640625" style="526" customWidth="1"/>
    <col min="14827" max="14827" width="20.44140625" style="526" customWidth="1"/>
    <col min="14828" max="14828" width="22.88671875" style="526" customWidth="1"/>
    <col min="14829" max="14829" width="25.109375" style="526" customWidth="1"/>
    <col min="14830" max="15077" width="9.88671875" style="526"/>
    <col min="15078" max="15078" width="8.44140625" style="526" customWidth="1"/>
    <col min="15079" max="15079" width="14" style="526" customWidth="1"/>
    <col min="15080" max="15080" width="17.88671875" style="526" customWidth="1"/>
    <col min="15081" max="15081" width="45" style="526" bestFit="1" customWidth="1"/>
    <col min="15082" max="15082" width="61.6640625" style="526" customWidth="1"/>
    <col min="15083" max="15083" width="20.44140625" style="526" customWidth="1"/>
    <col min="15084" max="15084" width="22.88671875" style="526" customWidth="1"/>
    <col min="15085" max="15085" width="25.109375" style="526" customWidth="1"/>
    <col min="15086" max="15333" width="9.88671875" style="526"/>
    <col min="15334" max="15334" width="8.44140625" style="526" customWidth="1"/>
    <col min="15335" max="15335" width="14" style="526" customWidth="1"/>
    <col min="15336" max="15336" width="17.88671875" style="526" customWidth="1"/>
    <col min="15337" max="15337" width="45" style="526" bestFit="1" customWidth="1"/>
    <col min="15338" max="15338" width="61.6640625" style="526" customWidth="1"/>
    <col min="15339" max="15339" width="20.44140625" style="526" customWidth="1"/>
    <col min="15340" max="15340" width="22.88671875" style="526" customWidth="1"/>
    <col min="15341" max="15341" width="25.109375" style="526" customWidth="1"/>
    <col min="15342" max="15589" width="9.88671875" style="526"/>
    <col min="15590" max="15590" width="8.44140625" style="526" customWidth="1"/>
    <col min="15591" max="15591" width="14" style="526" customWidth="1"/>
    <col min="15592" max="15592" width="17.88671875" style="526" customWidth="1"/>
    <col min="15593" max="15593" width="45" style="526" bestFit="1" customWidth="1"/>
    <col min="15594" max="15594" width="61.6640625" style="526" customWidth="1"/>
    <col min="15595" max="15595" width="20.44140625" style="526" customWidth="1"/>
    <col min="15596" max="15596" width="22.88671875" style="526" customWidth="1"/>
    <col min="15597" max="15597" width="25.109375" style="526" customWidth="1"/>
    <col min="15598" max="15845" width="9.88671875" style="526"/>
    <col min="15846" max="15846" width="8.44140625" style="526" customWidth="1"/>
    <col min="15847" max="15847" width="14" style="526" customWidth="1"/>
    <col min="15848" max="15848" width="17.88671875" style="526" customWidth="1"/>
    <col min="15849" max="15849" width="45" style="526" bestFit="1" customWidth="1"/>
    <col min="15850" max="15850" width="61.6640625" style="526" customWidth="1"/>
    <col min="15851" max="15851" width="20.44140625" style="526" customWidth="1"/>
    <col min="15852" max="15852" width="22.88671875" style="526" customWidth="1"/>
    <col min="15853" max="15853" width="25.109375" style="526" customWidth="1"/>
    <col min="15854" max="16101" width="9.88671875" style="526"/>
    <col min="16102" max="16102" width="8.44140625" style="526" customWidth="1"/>
    <col min="16103" max="16103" width="14" style="526" customWidth="1"/>
    <col min="16104" max="16104" width="17.88671875" style="526" customWidth="1"/>
    <col min="16105" max="16105" width="45" style="526" bestFit="1" customWidth="1"/>
    <col min="16106" max="16106" width="61.6640625" style="526" customWidth="1"/>
    <col min="16107" max="16107" width="20.44140625" style="526" customWidth="1"/>
    <col min="16108" max="16108" width="22.88671875" style="526" customWidth="1"/>
    <col min="16109" max="16109" width="25.109375" style="526" customWidth="1"/>
    <col min="16110" max="16384" width="9.88671875" style="526"/>
  </cols>
  <sheetData>
    <row r="1" spans="1:10" s="559" customFormat="1" ht="40.200000000000003" customHeight="1">
      <c r="A1" s="557" t="s">
        <v>464</v>
      </c>
      <c r="B1" s="558"/>
      <c r="C1" s="544"/>
      <c r="D1" s="544"/>
      <c r="E1" s="544"/>
      <c r="F1" s="544"/>
      <c r="G1" s="544"/>
      <c r="H1" s="544"/>
      <c r="I1" s="544"/>
      <c r="J1" s="544"/>
    </row>
    <row r="2" spans="1:10" s="545" customFormat="1" ht="19.95" customHeight="1">
      <c r="A2" s="557"/>
      <c r="B2" s="556"/>
      <c r="C2" s="544"/>
      <c r="D2" s="544"/>
      <c r="E2" s="544"/>
      <c r="F2" s="544"/>
      <c r="G2" s="544"/>
      <c r="H2" s="544"/>
      <c r="I2" s="544"/>
      <c r="J2" s="544"/>
    </row>
    <row r="3" spans="1:10" s="545" customFormat="1" ht="39.6" customHeight="1">
      <c r="A3" s="544"/>
      <c r="B3" s="1415" t="s">
        <v>465</v>
      </c>
      <c r="C3" s="1415"/>
      <c r="D3" s="1415"/>
      <c r="E3" s="1415"/>
      <c r="F3" s="1415"/>
      <c r="G3" s="1415"/>
      <c r="H3" s="1415"/>
      <c r="I3" s="1415"/>
      <c r="J3" s="544"/>
    </row>
    <row r="4" spans="1:10" s="545" customFormat="1" ht="25.2" customHeight="1">
      <c r="A4" s="544"/>
      <c r="B4" s="1411" t="s">
        <v>466</v>
      </c>
      <c r="C4" s="1412"/>
      <c r="D4" s="1412"/>
      <c r="E4" s="1412"/>
      <c r="F4" s="1412"/>
      <c r="G4" s="1412"/>
      <c r="H4" s="1412"/>
      <c r="I4" s="1413"/>
      <c r="J4" s="544"/>
    </row>
    <row r="5" spans="1:10" s="545" customFormat="1" ht="25.2" customHeight="1">
      <c r="A5" s="544"/>
      <c r="B5" s="546" t="s">
        <v>467</v>
      </c>
      <c r="C5" s="1411" t="s">
        <v>468</v>
      </c>
      <c r="D5" s="1412"/>
      <c r="E5" s="1412"/>
      <c r="F5" s="1412"/>
      <c r="G5" s="1412"/>
      <c r="H5" s="1412"/>
      <c r="I5" s="1413"/>
      <c r="J5" s="544"/>
    </row>
    <row r="6" spans="1:10" s="545" customFormat="1" ht="25.2" customHeight="1">
      <c r="A6" s="544"/>
      <c r="B6" s="546" t="s">
        <v>469</v>
      </c>
      <c r="C6" s="1411" t="s">
        <v>470</v>
      </c>
      <c r="D6" s="1412"/>
      <c r="E6" s="1412"/>
      <c r="F6" s="1412"/>
      <c r="G6" s="1412"/>
      <c r="H6" s="1412"/>
      <c r="I6" s="1413"/>
      <c r="J6" s="544"/>
    </row>
    <row r="7" spans="1:10" s="545" customFormat="1" ht="25.2" customHeight="1">
      <c r="A7" s="544"/>
      <c r="B7" s="546" t="s">
        <v>471</v>
      </c>
      <c r="C7" s="1411" t="s">
        <v>472</v>
      </c>
      <c r="D7" s="1412"/>
      <c r="E7" s="1412"/>
      <c r="F7" s="1412"/>
      <c r="G7" s="1412"/>
      <c r="H7" s="1412"/>
      <c r="I7" s="1413"/>
      <c r="J7" s="544"/>
    </row>
    <row r="8" spans="1:10" s="545" customFormat="1" ht="25.2" customHeight="1">
      <c r="A8" s="544"/>
      <c r="B8" s="547"/>
      <c r="C8" s="548"/>
      <c r="D8" s="549"/>
      <c r="E8" s="549"/>
      <c r="F8" s="549"/>
      <c r="G8" s="549"/>
      <c r="H8" s="549"/>
      <c r="I8" s="549"/>
      <c r="J8" s="544"/>
    </row>
    <row r="9" spans="1:10" s="545" customFormat="1" ht="36" customHeight="1">
      <c r="A9" s="544"/>
      <c r="B9" s="1415" t="s">
        <v>473</v>
      </c>
      <c r="C9" s="1415"/>
      <c r="D9" s="1415"/>
      <c r="E9" s="1415"/>
      <c r="F9" s="1415"/>
      <c r="G9" s="1415"/>
      <c r="H9" s="1415"/>
      <c r="I9" s="1415"/>
      <c r="J9" s="544"/>
    </row>
    <row r="10" spans="1:10" s="545" customFormat="1" ht="25.2" customHeight="1">
      <c r="A10" s="544"/>
      <c r="B10" s="1411" t="s">
        <v>474</v>
      </c>
      <c r="C10" s="1412"/>
      <c r="D10" s="1412"/>
      <c r="E10" s="1412"/>
      <c r="F10" s="1412"/>
      <c r="G10" s="1412"/>
      <c r="H10" s="1412"/>
      <c r="I10" s="1413"/>
      <c r="J10" s="544"/>
    </row>
    <row r="11" spans="1:10" s="545" customFormat="1" ht="56.4" customHeight="1">
      <c r="A11" s="544"/>
      <c r="B11" s="1416" t="s">
        <v>467</v>
      </c>
      <c r="C11" s="1398" t="s">
        <v>475</v>
      </c>
      <c r="D11" s="1399"/>
      <c r="E11" s="1399"/>
      <c r="F11" s="1399"/>
      <c r="G11" s="1399"/>
      <c r="H11" s="1399"/>
      <c r="I11" s="1400"/>
      <c r="J11" s="544"/>
    </row>
    <row r="12" spans="1:10" s="545" customFormat="1" ht="54.6" customHeight="1">
      <c r="A12" s="544"/>
      <c r="B12" s="1416"/>
      <c r="C12" s="1417" t="s">
        <v>476</v>
      </c>
      <c r="D12" s="546" t="s">
        <v>184</v>
      </c>
      <c r="E12" s="1398" t="s">
        <v>477</v>
      </c>
      <c r="F12" s="1399"/>
      <c r="G12" s="1399"/>
      <c r="H12" s="1399"/>
      <c r="I12" s="1400"/>
    </row>
    <row r="13" spans="1:10" s="545" customFormat="1" ht="32.4" customHeight="1">
      <c r="A13" s="544"/>
      <c r="B13" s="1416"/>
      <c r="C13" s="1418"/>
      <c r="D13" s="546" t="s">
        <v>187</v>
      </c>
      <c r="E13" s="1398" t="s">
        <v>478</v>
      </c>
      <c r="F13" s="1399"/>
      <c r="G13" s="1399"/>
      <c r="H13" s="1399"/>
      <c r="I13" s="1400"/>
    </row>
    <row r="14" spans="1:10" s="545" customFormat="1" ht="25.2" customHeight="1">
      <c r="A14" s="544"/>
      <c r="B14" s="546" t="s">
        <v>469</v>
      </c>
      <c r="C14" s="1411" t="s">
        <v>479</v>
      </c>
      <c r="D14" s="1412"/>
      <c r="E14" s="1412"/>
      <c r="F14" s="1412"/>
      <c r="G14" s="1412"/>
      <c r="H14" s="1412"/>
      <c r="I14" s="1413"/>
      <c r="J14" s="544"/>
    </row>
    <row r="15" spans="1:10" s="545" customFormat="1" ht="25.2" customHeight="1">
      <c r="A15" s="544"/>
      <c r="B15" s="544"/>
      <c r="C15" s="544"/>
      <c r="D15" s="544"/>
      <c r="E15" s="544"/>
      <c r="F15" s="544"/>
      <c r="G15" s="544"/>
      <c r="H15" s="544"/>
      <c r="I15" s="544"/>
      <c r="J15" s="544"/>
    </row>
    <row r="16" spans="1:10" s="545" customFormat="1" ht="32.4" customHeight="1">
      <c r="A16" s="544"/>
      <c r="B16" s="560" t="s">
        <v>480</v>
      </c>
      <c r="C16" s="548"/>
      <c r="D16" s="548"/>
      <c r="E16" s="548"/>
      <c r="F16" s="548"/>
      <c r="G16" s="548"/>
      <c r="H16" s="548"/>
      <c r="I16" s="548"/>
      <c r="J16" s="550"/>
    </row>
    <row r="17" spans="1:10" s="545" customFormat="1" ht="25.2" customHeight="1">
      <c r="A17" s="544"/>
      <c r="B17" s="551" t="s">
        <v>467</v>
      </c>
      <c r="C17" s="1398" t="s">
        <v>481</v>
      </c>
      <c r="D17" s="1399"/>
      <c r="E17" s="1399"/>
      <c r="F17" s="1399"/>
      <c r="G17" s="1399"/>
      <c r="H17" s="1399"/>
      <c r="I17" s="1400"/>
      <c r="J17" s="552"/>
    </row>
    <row r="18" spans="1:10" s="545" customFormat="1" ht="49.95" customHeight="1">
      <c r="A18" s="544"/>
      <c r="B18" s="553"/>
      <c r="C18" s="1417" t="s">
        <v>482</v>
      </c>
      <c r="D18" s="546" t="s">
        <v>184</v>
      </c>
      <c r="E18" s="1398" t="s">
        <v>483</v>
      </c>
      <c r="F18" s="1399"/>
      <c r="G18" s="1399"/>
      <c r="H18" s="1399"/>
      <c r="I18" s="1400"/>
    </row>
    <row r="19" spans="1:10" s="545" customFormat="1" ht="76.2" customHeight="1">
      <c r="A19" s="544"/>
      <c r="B19" s="553"/>
      <c r="C19" s="1419"/>
      <c r="D19" s="546" t="s">
        <v>187</v>
      </c>
      <c r="E19" s="1398" t="s">
        <v>484</v>
      </c>
      <c r="F19" s="1399"/>
      <c r="G19" s="1399"/>
      <c r="H19" s="1399"/>
      <c r="I19" s="1400"/>
    </row>
    <row r="20" spans="1:10" s="545" customFormat="1" ht="78.599999999999994" customHeight="1">
      <c r="A20" s="544"/>
      <c r="B20" s="554"/>
      <c r="C20" s="1418"/>
      <c r="D20" s="546" t="s">
        <v>190</v>
      </c>
      <c r="E20" s="1398" t="s">
        <v>485</v>
      </c>
      <c r="F20" s="1399"/>
      <c r="G20" s="1399"/>
      <c r="H20" s="1399"/>
      <c r="I20" s="1400"/>
    </row>
    <row r="21" spans="1:10" s="545" customFormat="1" ht="25.2" customHeight="1">
      <c r="A21" s="544"/>
      <c r="B21" s="554" t="s">
        <v>469</v>
      </c>
      <c r="C21" s="1414" t="s">
        <v>479</v>
      </c>
      <c r="D21" s="1414"/>
      <c r="E21" s="1414"/>
      <c r="F21" s="1414"/>
      <c r="G21" s="1414"/>
      <c r="H21" s="1414"/>
      <c r="I21" s="1414"/>
      <c r="J21" s="555"/>
    </row>
    <row r="22" spans="1:10" ht="15.75" customHeight="1">
      <c r="A22" s="59"/>
      <c r="B22" s="59"/>
      <c r="C22" s="59"/>
      <c r="D22" s="59"/>
      <c r="E22" s="59"/>
      <c r="F22" s="59"/>
      <c r="G22" s="59"/>
      <c r="H22" s="59"/>
      <c r="I22" s="59"/>
      <c r="J22" s="59"/>
    </row>
    <row r="23" spans="1:10" ht="40.200000000000003" customHeight="1">
      <c r="A23" s="521" t="s">
        <v>486</v>
      </c>
      <c r="B23" s="522"/>
      <c r="C23" s="522"/>
      <c r="D23" s="522"/>
      <c r="E23" s="522"/>
      <c r="F23" s="522"/>
      <c r="G23" s="522"/>
      <c r="H23" s="522"/>
      <c r="I23" s="522"/>
      <c r="J23" s="523"/>
    </row>
    <row r="24" spans="1:10" ht="19.95" customHeight="1">
      <c r="A24" s="524"/>
      <c r="B24" s="525"/>
      <c r="C24" s="525"/>
      <c r="D24" s="525"/>
      <c r="E24" s="525"/>
      <c r="F24" s="525"/>
      <c r="G24" s="525"/>
      <c r="H24" s="525"/>
      <c r="I24" s="525"/>
    </row>
    <row r="25" spans="1:10" ht="40.200000000000003" customHeight="1">
      <c r="A25" s="521" t="s">
        <v>487</v>
      </c>
      <c r="B25" s="525"/>
      <c r="C25" s="525"/>
      <c r="D25" s="525"/>
      <c r="E25" s="525"/>
      <c r="F25" s="525"/>
      <c r="G25" s="525"/>
      <c r="H25" s="525"/>
      <c r="I25" s="525"/>
    </row>
    <row r="26" spans="1:10" ht="42">
      <c r="A26" s="527" t="s">
        <v>488</v>
      </c>
      <c r="B26" s="528" t="s">
        <v>489</v>
      </c>
      <c r="C26" s="528" t="s">
        <v>490</v>
      </c>
      <c r="D26" s="1402" t="s">
        <v>491</v>
      </c>
      <c r="E26" s="1403"/>
      <c r="F26" s="528" t="s">
        <v>492</v>
      </c>
      <c r="G26" s="529" t="s">
        <v>493</v>
      </c>
      <c r="H26" s="529" t="s">
        <v>494</v>
      </c>
      <c r="I26" s="529" t="s">
        <v>495</v>
      </c>
    </row>
    <row r="27" spans="1:10" ht="115.2" customHeight="1">
      <c r="A27" s="530" t="s">
        <v>496</v>
      </c>
      <c r="B27" s="531" t="s">
        <v>497</v>
      </c>
      <c r="C27" s="532" t="s">
        <v>498</v>
      </c>
      <c r="D27" s="1396" t="s">
        <v>499</v>
      </c>
      <c r="E27" s="1397"/>
      <c r="F27" s="532" t="s">
        <v>500</v>
      </c>
      <c r="G27" s="532" t="s">
        <v>501</v>
      </c>
      <c r="H27" s="532" t="s">
        <v>502</v>
      </c>
      <c r="I27" s="532" t="s">
        <v>503</v>
      </c>
    </row>
    <row r="28" spans="1:10" ht="145.94999999999999" customHeight="1">
      <c r="A28" s="530" t="s">
        <v>496</v>
      </c>
      <c r="B28" s="531" t="s">
        <v>504</v>
      </c>
      <c r="C28" s="532" t="s">
        <v>505</v>
      </c>
      <c r="D28" s="1396" t="s">
        <v>506</v>
      </c>
      <c r="E28" s="1397"/>
      <c r="F28" s="532" t="s">
        <v>507</v>
      </c>
      <c r="G28" s="532" t="s">
        <v>508</v>
      </c>
      <c r="H28" s="532" t="s">
        <v>509</v>
      </c>
      <c r="I28" s="532" t="s">
        <v>503</v>
      </c>
    </row>
    <row r="29" spans="1:10" ht="168">
      <c r="A29" s="530" t="s">
        <v>510</v>
      </c>
      <c r="B29" s="531" t="s">
        <v>511</v>
      </c>
      <c r="C29" s="532" t="s">
        <v>512</v>
      </c>
      <c r="D29" s="1396" t="s">
        <v>513</v>
      </c>
      <c r="E29" s="1397"/>
      <c r="F29" s="532" t="s">
        <v>514</v>
      </c>
      <c r="G29" s="532" t="s">
        <v>515</v>
      </c>
      <c r="H29" s="532" t="s">
        <v>516</v>
      </c>
      <c r="I29" s="532" t="s">
        <v>517</v>
      </c>
    </row>
    <row r="30" spans="1:10" ht="147">
      <c r="A30" s="530" t="s">
        <v>518</v>
      </c>
      <c r="B30" s="527"/>
      <c r="C30" s="532" t="s">
        <v>519</v>
      </c>
      <c r="D30" s="1396" t="s">
        <v>520</v>
      </c>
      <c r="E30" s="1397"/>
      <c r="F30" s="532" t="s">
        <v>521</v>
      </c>
      <c r="G30" s="532" t="s">
        <v>522</v>
      </c>
      <c r="H30" s="532" t="s">
        <v>523</v>
      </c>
      <c r="I30" s="532" t="s">
        <v>524</v>
      </c>
    </row>
    <row r="31" spans="1:10" ht="147">
      <c r="A31" s="530" t="s">
        <v>525</v>
      </c>
      <c r="B31" s="527"/>
      <c r="C31" s="532" t="s">
        <v>526</v>
      </c>
      <c r="D31" s="1396" t="s">
        <v>527</v>
      </c>
      <c r="E31" s="1397"/>
      <c r="F31" s="532" t="s">
        <v>528</v>
      </c>
      <c r="G31" s="532" t="s">
        <v>529</v>
      </c>
      <c r="H31" s="532" t="s">
        <v>530</v>
      </c>
      <c r="I31" s="532" t="s">
        <v>531</v>
      </c>
    </row>
    <row r="32" spans="1:10" ht="23.4">
      <c r="A32" s="1407" t="s">
        <v>532</v>
      </c>
      <c r="B32" s="1407"/>
      <c r="C32" s="1407"/>
      <c r="D32" s="1407"/>
      <c r="E32" s="1407"/>
      <c r="F32" s="1407"/>
      <c r="G32" s="1407"/>
      <c r="H32" s="1407"/>
      <c r="I32" s="1407"/>
    </row>
    <row r="33" spans="1:9" ht="23.4">
      <c r="A33" s="533"/>
      <c r="B33" s="533"/>
      <c r="C33" s="533"/>
      <c r="D33" s="533"/>
      <c r="E33" s="533"/>
      <c r="F33" s="533"/>
      <c r="G33" s="533"/>
      <c r="H33" s="533"/>
      <c r="I33" s="533"/>
    </row>
    <row r="34" spans="1:9" ht="23.4">
      <c r="A34" s="534" t="s">
        <v>533</v>
      </c>
      <c r="B34" s="534"/>
      <c r="C34" s="534"/>
      <c r="D34" s="534"/>
      <c r="E34" s="534"/>
      <c r="F34" s="534"/>
      <c r="G34" s="534"/>
      <c r="H34" s="534"/>
      <c r="I34" s="534"/>
    </row>
    <row r="35" spans="1:9" ht="23.4">
      <c r="A35" s="1404" t="s">
        <v>534</v>
      </c>
      <c r="B35" s="1405"/>
      <c r="C35" s="1405"/>
      <c r="D35" s="1405"/>
      <c r="E35" s="1405"/>
      <c r="F35" s="1405"/>
      <c r="G35" s="1405"/>
      <c r="H35" s="1405"/>
      <c r="I35" s="1406"/>
    </row>
    <row r="36" spans="1:9" ht="28.2">
      <c r="A36" s="535"/>
      <c r="B36" s="525"/>
      <c r="C36" s="525"/>
      <c r="D36" s="525"/>
      <c r="E36" s="525"/>
      <c r="F36" s="525"/>
      <c r="G36" s="525"/>
      <c r="H36" s="525"/>
      <c r="I36" s="525"/>
    </row>
    <row r="37" spans="1:9" ht="40.200000000000003" customHeight="1">
      <c r="A37" s="536" t="s">
        <v>535</v>
      </c>
      <c r="B37" s="525"/>
      <c r="C37" s="537"/>
      <c r="D37" s="537"/>
      <c r="E37" s="525"/>
      <c r="F37" s="525"/>
      <c r="G37" s="525"/>
      <c r="H37" s="525"/>
      <c r="I37" s="525"/>
    </row>
    <row r="38" spans="1:9" ht="46.8">
      <c r="A38" s="1408" t="s">
        <v>536</v>
      </c>
      <c r="B38" s="1409"/>
      <c r="C38" s="538" t="s">
        <v>490</v>
      </c>
      <c r="D38" s="539" t="s">
        <v>537</v>
      </c>
      <c r="E38" s="539" t="s">
        <v>538</v>
      </c>
      <c r="F38" s="539" t="s">
        <v>539</v>
      </c>
      <c r="G38" s="540"/>
      <c r="H38" s="540"/>
      <c r="I38" s="540"/>
    </row>
    <row r="39" spans="1:9" ht="93.6">
      <c r="A39" s="1410" t="s">
        <v>540</v>
      </c>
      <c r="B39" s="1409"/>
      <c r="C39" s="541" t="s">
        <v>512</v>
      </c>
      <c r="D39" s="541" t="s">
        <v>516</v>
      </c>
      <c r="E39" s="541" t="s">
        <v>541</v>
      </c>
      <c r="F39" s="541" t="s">
        <v>542</v>
      </c>
      <c r="G39" s="540"/>
      <c r="H39" s="540"/>
      <c r="I39" s="540"/>
    </row>
    <row r="40" spans="1:9" ht="82.2">
      <c r="A40" s="1410" t="s">
        <v>543</v>
      </c>
      <c r="B40" s="1409"/>
      <c r="C40" s="541" t="s">
        <v>519</v>
      </c>
      <c r="D40" s="541" t="s">
        <v>523</v>
      </c>
      <c r="E40" s="541" t="s">
        <v>544</v>
      </c>
      <c r="F40" s="542" t="s">
        <v>545</v>
      </c>
      <c r="G40" s="525"/>
      <c r="H40" s="525"/>
      <c r="I40" s="525"/>
    </row>
    <row r="41" spans="1:9" ht="82.2">
      <c r="A41" s="1410" t="s">
        <v>546</v>
      </c>
      <c r="B41" s="1409"/>
      <c r="C41" s="541" t="s">
        <v>526</v>
      </c>
      <c r="D41" s="541" t="s">
        <v>530</v>
      </c>
      <c r="E41" s="541" t="s">
        <v>547</v>
      </c>
      <c r="F41" s="542" t="s">
        <v>548</v>
      </c>
      <c r="G41" s="525"/>
      <c r="H41" s="525"/>
      <c r="I41" s="525"/>
    </row>
    <row r="42" spans="1:9">
      <c r="A42" s="525"/>
      <c r="B42" s="525"/>
      <c r="C42" s="525"/>
      <c r="D42" s="525"/>
      <c r="E42" s="525"/>
      <c r="F42" s="525"/>
      <c r="G42" s="525"/>
      <c r="H42" s="525"/>
      <c r="I42" s="525"/>
    </row>
    <row r="43" spans="1:9" ht="23.4">
      <c r="A43" s="1401" t="s">
        <v>532</v>
      </c>
      <c r="B43" s="1401"/>
      <c r="C43" s="1401"/>
      <c r="D43" s="1401"/>
      <c r="E43" s="1401"/>
      <c r="F43" s="1401"/>
      <c r="G43" s="1401"/>
      <c r="H43" s="1401"/>
      <c r="I43" s="1401"/>
    </row>
    <row r="44" spans="1:9" ht="23.4">
      <c r="A44" s="534" t="s">
        <v>533</v>
      </c>
      <c r="B44" s="534"/>
      <c r="C44" s="534"/>
      <c r="D44" s="534"/>
      <c r="E44" s="534"/>
      <c r="F44" s="534"/>
      <c r="G44" s="534"/>
      <c r="H44" s="534"/>
      <c r="I44" s="534"/>
    </row>
    <row r="45" spans="1:9" ht="23.4">
      <c r="A45" s="1404" t="s">
        <v>534</v>
      </c>
      <c r="B45" s="1405"/>
      <c r="C45" s="1405"/>
      <c r="D45" s="1405"/>
      <c r="E45" s="1405"/>
      <c r="F45" s="1405"/>
      <c r="G45" s="1405"/>
      <c r="H45" s="1405"/>
      <c r="I45" s="1406"/>
    </row>
    <row r="46" spans="1:9">
      <c r="A46" s="525"/>
      <c r="B46" s="525"/>
      <c r="C46" s="525"/>
      <c r="D46" s="525"/>
      <c r="E46" s="525"/>
      <c r="F46" s="525"/>
      <c r="G46" s="525"/>
      <c r="H46" s="525"/>
      <c r="I46" s="525"/>
    </row>
    <row r="47" spans="1:9">
      <c r="A47" s="525"/>
      <c r="B47" s="525"/>
      <c r="C47" s="525"/>
      <c r="D47" s="525"/>
      <c r="E47" s="525"/>
      <c r="F47" s="525"/>
      <c r="G47" s="525"/>
      <c r="H47" s="525"/>
      <c r="I47" s="525"/>
    </row>
    <row r="48" spans="1:9">
      <c r="A48" s="525"/>
      <c r="B48" s="525"/>
      <c r="C48" s="525"/>
      <c r="D48" s="525"/>
      <c r="E48" s="525"/>
      <c r="F48" s="525"/>
      <c r="G48" s="525"/>
      <c r="H48" s="525"/>
      <c r="I48" s="525"/>
    </row>
    <row r="49" spans="1:9">
      <c r="A49" s="525"/>
      <c r="B49" s="525"/>
      <c r="C49" s="525"/>
      <c r="D49" s="525"/>
      <c r="E49" s="525"/>
      <c r="F49" s="525"/>
      <c r="G49" s="525"/>
      <c r="H49" s="525"/>
      <c r="I49" s="525"/>
    </row>
    <row r="50" spans="1:9">
      <c r="A50" s="525"/>
      <c r="B50" s="525"/>
      <c r="C50" s="525"/>
      <c r="D50" s="525"/>
      <c r="E50" s="525"/>
      <c r="F50" s="525"/>
      <c r="G50" s="525"/>
      <c r="H50" s="525"/>
      <c r="I50" s="525"/>
    </row>
    <row r="51" spans="1:9">
      <c r="A51" s="525"/>
      <c r="B51" s="525"/>
      <c r="C51" s="525"/>
      <c r="D51" s="525"/>
      <c r="E51" s="525"/>
      <c r="F51" s="525"/>
      <c r="G51" s="525"/>
      <c r="H51" s="525"/>
      <c r="I51" s="525"/>
    </row>
    <row r="52" spans="1:9">
      <c r="A52" s="525"/>
      <c r="B52" s="525"/>
      <c r="C52" s="525"/>
      <c r="D52" s="525"/>
      <c r="E52" s="525"/>
      <c r="F52" s="525"/>
      <c r="G52" s="525"/>
      <c r="H52" s="525"/>
      <c r="I52" s="525"/>
    </row>
    <row r="53" spans="1:9">
      <c r="A53" s="525"/>
      <c r="B53" s="525"/>
      <c r="C53" s="525"/>
      <c r="D53" s="525"/>
      <c r="E53" s="525"/>
      <c r="F53" s="525"/>
      <c r="G53" s="525"/>
      <c r="H53" s="525"/>
      <c r="I53" s="525"/>
    </row>
    <row r="54" spans="1:9">
      <c r="A54" s="525"/>
      <c r="B54" s="525"/>
      <c r="C54" s="525"/>
      <c r="D54" s="525"/>
      <c r="E54" s="525"/>
      <c r="F54" s="525"/>
      <c r="G54" s="525"/>
      <c r="H54" s="525"/>
      <c r="I54" s="525"/>
    </row>
    <row r="55" spans="1:9">
      <c r="A55" s="525"/>
      <c r="B55" s="525"/>
      <c r="C55" s="525"/>
      <c r="D55" s="525"/>
      <c r="E55" s="525"/>
      <c r="F55" s="525"/>
      <c r="G55" s="525"/>
      <c r="H55" s="525"/>
      <c r="I55" s="525"/>
    </row>
    <row r="56" spans="1:9">
      <c r="A56" s="525"/>
      <c r="B56" s="525"/>
      <c r="C56" s="525"/>
      <c r="D56" s="525"/>
      <c r="E56" s="525"/>
      <c r="F56" s="525"/>
      <c r="G56" s="525"/>
      <c r="H56" s="525"/>
      <c r="I56" s="525"/>
    </row>
    <row r="57" spans="1:9">
      <c r="A57" s="525"/>
      <c r="B57" s="525"/>
      <c r="C57" s="525"/>
      <c r="D57" s="525"/>
      <c r="E57" s="525"/>
      <c r="F57" s="525"/>
      <c r="G57" s="525"/>
      <c r="H57" s="525"/>
      <c r="I57" s="525"/>
    </row>
    <row r="58" spans="1:9">
      <c r="A58" s="525"/>
      <c r="B58" s="525"/>
      <c r="C58" s="525"/>
      <c r="D58" s="525"/>
      <c r="E58" s="525"/>
      <c r="F58" s="525"/>
      <c r="G58" s="525"/>
      <c r="H58" s="525"/>
      <c r="I58" s="525"/>
    </row>
    <row r="59" spans="1:9">
      <c r="A59" s="525"/>
      <c r="B59" s="525"/>
      <c r="C59" s="525"/>
      <c r="D59" s="525"/>
      <c r="E59" s="525"/>
      <c r="F59" s="525"/>
      <c r="G59" s="525"/>
      <c r="H59" s="525"/>
      <c r="I59" s="525"/>
    </row>
    <row r="60" spans="1:9">
      <c r="A60" s="525"/>
      <c r="B60" s="525"/>
      <c r="C60" s="525"/>
      <c r="D60" s="525"/>
      <c r="E60" s="525"/>
      <c r="F60" s="525"/>
      <c r="G60" s="525"/>
      <c r="H60" s="525"/>
      <c r="I60" s="525"/>
    </row>
    <row r="61" spans="1:9">
      <c r="A61" s="525"/>
      <c r="B61" s="525"/>
      <c r="C61" s="525"/>
      <c r="D61" s="525"/>
      <c r="E61" s="525"/>
      <c r="F61" s="525"/>
      <c r="G61" s="525"/>
      <c r="H61" s="525"/>
      <c r="I61" s="525"/>
    </row>
    <row r="62" spans="1:9">
      <c r="A62" s="525"/>
      <c r="B62" s="525"/>
      <c r="C62" s="525"/>
      <c r="D62" s="525"/>
      <c r="E62" s="525"/>
      <c r="F62" s="525"/>
      <c r="G62" s="525"/>
      <c r="H62" s="525"/>
      <c r="I62" s="525"/>
    </row>
    <row r="63" spans="1:9">
      <c r="A63" s="525"/>
      <c r="B63" s="525"/>
      <c r="C63" s="525"/>
      <c r="D63" s="525"/>
      <c r="E63" s="525"/>
      <c r="F63" s="525"/>
      <c r="G63" s="525"/>
      <c r="H63" s="525"/>
      <c r="I63" s="525"/>
    </row>
    <row r="64" spans="1:9">
      <c r="A64" s="525"/>
      <c r="B64" s="525"/>
      <c r="C64" s="525"/>
      <c r="D64" s="525"/>
      <c r="E64" s="525"/>
      <c r="F64" s="525"/>
      <c r="G64" s="525"/>
      <c r="H64" s="525"/>
      <c r="I64" s="525"/>
    </row>
    <row r="65" spans="1:9">
      <c r="A65" s="525"/>
      <c r="B65" s="525"/>
      <c r="C65" s="525"/>
      <c r="D65" s="525"/>
      <c r="E65" s="525"/>
      <c r="F65" s="525"/>
      <c r="G65" s="525"/>
      <c r="H65" s="525"/>
      <c r="I65" s="525"/>
    </row>
    <row r="66" spans="1:9">
      <c r="A66" s="525"/>
      <c r="B66" s="525"/>
      <c r="C66" s="525"/>
      <c r="D66" s="525"/>
      <c r="E66" s="525"/>
      <c r="F66" s="525"/>
      <c r="G66" s="525"/>
      <c r="H66" s="525"/>
      <c r="I66" s="525"/>
    </row>
    <row r="67" spans="1:9">
      <c r="A67" s="525"/>
      <c r="B67" s="525"/>
      <c r="C67" s="525"/>
      <c r="D67" s="525"/>
      <c r="E67" s="525"/>
      <c r="F67" s="525"/>
      <c r="G67" s="525"/>
      <c r="H67" s="525"/>
      <c r="I67" s="525"/>
    </row>
    <row r="68" spans="1:9">
      <c r="A68" s="525"/>
      <c r="B68" s="525"/>
      <c r="C68" s="525"/>
      <c r="D68" s="525"/>
      <c r="E68" s="525"/>
      <c r="F68" s="525"/>
      <c r="G68" s="525"/>
      <c r="H68" s="525"/>
      <c r="I68" s="525"/>
    </row>
    <row r="69" spans="1:9">
      <c r="A69" s="525"/>
      <c r="B69" s="525"/>
      <c r="C69" s="525"/>
      <c r="D69" s="525"/>
      <c r="E69" s="525"/>
      <c r="F69" s="525"/>
      <c r="G69" s="525"/>
      <c r="H69" s="525"/>
      <c r="I69" s="525"/>
    </row>
    <row r="70" spans="1:9">
      <c r="A70" s="525"/>
      <c r="B70" s="525"/>
      <c r="C70" s="525"/>
      <c r="D70" s="525"/>
      <c r="E70" s="525"/>
      <c r="F70" s="525"/>
      <c r="G70" s="525"/>
      <c r="H70" s="525"/>
      <c r="I70" s="525"/>
    </row>
    <row r="71" spans="1:9">
      <c r="A71" s="525"/>
      <c r="B71" s="525"/>
      <c r="C71" s="525"/>
      <c r="D71" s="525"/>
      <c r="E71" s="525"/>
      <c r="F71" s="525"/>
      <c r="G71" s="525"/>
      <c r="H71" s="525"/>
      <c r="I71" s="525"/>
    </row>
    <row r="72" spans="1:9">
      <c r="A72" s="525"/>
      <c r="B72" s="525"/>
      <c r="C72" s="525"/>
      <c r="D72" s="525"/>
      <c r="E72" s="525"/>
      <c r="F72" s="525"/>
      <c r="G72" s="525"/>
      <c r="H72" s="525"/>
      <c r="I72" s="525"/>
    </row>
    <row r="73" spans="1:9">
      <c r="A73" s="525"/>
      <c r="B73" s="525"/>
      <c r="C73" s="525"/>
      <c r="D73" s="525"/>
      <c r="E73" s="525"/>
      <c r="F73" s="525"/>
      <c r="G73" s="525"/>
      <c r="H73" s="525"/>
      <c r="I73" s="525"/>
    </row>
    <row r="74" spans="1:9">
      <c r="A74" s="525"/>
      <c r="B74" s="525"/>
      <c r="C74" s="525"/>
      <c r="D74" s="525"/>
      <c r="E74" s="525"/>
      <c r="F74" s="525"/>
      <c r="G74" s="525"/>
      <c r="H74" s="525"/>
      <c r="I74" s="525"/>
    </row>
    <row r="75" spans="1:9">
      <c r="A75" s="525"/>
      <c r="B75" s="525"/>
      <c r="C75" s="525"/>
      <c r="D75" s="525"/>
      <c r="E75" s="525"/>
      <c r="F75" s="525"/>
      <c r="G75" s="525"/>
      <c r="H75" s="525"/>
      <c r="I75" s="525"/>
    </row>
    <row r="76" spans="1:9">
      <c r="A76" s="525"/>
      <c r="B76" s="525"/>
      <c r="C76" s="525"/>
      <c r="D76" s="525"/>
      <c r="E76" s="525"/>
      <c r="F76" s="525"/>
      <c r="G76" s="525"/>
      <c r="H76" s="525"/>
      <c r="I76" s="525"/>
    </row>
    <row r="77" spans="1:9">
      <c r="A77" s="525"/>
      <c r="B77" s="525"/>
      <c r="C77" s="525"/>
      <c r="D77" s="525"/>
      <c r="E77" s="525"/>
      <c r="F77" s="525"/>
      <c r="G77" s="525"/>
      <c r="H77" s="525"/>
      <c r="I77" s="525"/>
    </row>
    <row r="78" spans="1:9">
      <c r="A78" s="525"/>
      <c r="B78" s="525"/>
      <c r="C78" s="525"/>
      <c r="D78" s="525"/>
      <c r="E78" s="525"/>
      <c r="F78" s="525"/>
      <c r="G78" s="525"/>
      <c r="H78" s="525"/>
      <c r="I78" s="525"/>
    </row>
    <row r="79" spans="1:9">
      <c r="A79" s="525"/>
      <c r="B79" s="525"/>
      <c r="C79" s="525"/>
      <c r="D79" s="525"/>
      <c r="E79" s="525"/>
      <c r="F79" s="525"/>
      <c r="G79" s="525"/>
      <c r="H79" s="525"/>
      <c r="I79" s="525"/>
    </row>
    <row r="80" spans="1:9">
      <c r="A80" s="525"/>
      <c r="B80" s="525"/>
      <c r="C80" s="525"/>
      <c r="D80" s="525"/>
      <c r="E80" s="525"/>
      <c r="F80" s="525"/>
      <c r="G80" s="525"/>
      <c r="H80" s="525"/>
      <c r="I80" s="525"/>
    </row>
    <row r="81" spans="1:9">
      <c r="A81" s="525"/>
      <c r="B81" s="525"/>
      <c r="C81" s="525"/>
      <c r="D81" s="525"/>
      <c r="E81" s="525"/>
      <c r="F81" s="525"/>
      <c r="G81" s="525"/>
      <c r="H81" s="525"/>
      <c r="I81" s="525"/>
    </row>
    <row r="82" spans="1:9">
      <c r="A82" s="525"/>
      <c r="B82" s="525"/>
      <c r="C82" s="525"/>
      <c r="D82" s="525"/>
      <c r="E82" s="525"/>
      <c r="F82" s="525"/>
      <c r="G82" s="525"/>
      <c r="H82" s="525"/>
      <c r="I82" s="525"/>
    </row>
    <row r="83" spans="1:9">
      <c r="A83" s="525"/>
      <c r="B83" s="525"/>
      <c r="C83" s="525"/>
      <c r="D83" s="525"/>
      <c r="E83" s="525"/>
      <c r="F83" s="525"/>
      <c r="G83" s="525"/>
      <c r="H83" s="525"/>
      <c r="I83" s="525"/>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549</v>
      </c>
      <c r="D1" s="2"/>
      <c r="E1" s="2" t="s">
        <v>550</v>
      </c>
      <c r="G1" s="2" t="s">
        <v>551</v>
      </c>
      <c r="H1" s="1"/>
      <c r="J1" s="10" t="s">
        <v>552</v>
      </c>
      <c r="K1" s="10"/>
      <c r="T1" s="1"/>
      <c r="U1" s="1" t="s">
        <v>553</v>
      </c>
      <c r="V1" s="1"/>
      <c r="W1" s="2" t="s">
        <v>554</v>
      </c>
      <c r="X1" s="1"/>
      <c r="Y1" s="2" t="s">
        <v>555</v>
      </c>
      <c r="AA1" s="1" t="s">
        <v>556</v>
      </c>
    </row>
    <row r="2" spans="1:27" ht="24.6" thickBot="1">
      <c r="A2" s="604" t="s">
        <v>557</v>
      </c>
      <c r="B2" s="605" t="s">
        <v>558</v>
      </c>
      <c r="C2" s="117" t="s">
        <v>559</v>
      </c>
      <c r="E2" s="5" t="s">
        <v>46</v>
      </c>
      <c r="G2" s="5" t="s">
        <v>46</v>
      </c>
      <c r="H2" s="5" t="s">
        <v>560</v>
      </c>
      <c r="J2" s="14" t="s">
        <v>561</v>
      </c>
      <c r="K2" s="648" t="s">
        <v>562</v>
      </c>
      <c r="L2" s="645" t="s">
        <v>46</v>
      </c>
      <c r="M2" s="639" t="s">
        <v>2396</v>
      </c>
      <c r="N2" s="641" t="s">
        <v>563</v>
      </c>
      <c r="O2" s="643">
        <v>0.7</v>
      </c>
      <c r="P2" s="620">
        <v>0.55000000000000004</v>
      </c>
      <c r="Q2" s="640">
        <v>0.45</v>
      </c>
      <c r="R2" s="632" t="s">
        <v>564</v>
      </c>
      <c r="S2" s="26" t="s">
        <v>565</v>
      </c>
      <c r="T2" s="1"/>
      <c r="U2" s="203" t="s">
        <v>174</v>
      </c>
      <c r="V2" s="1"/>
      <c r="W2" s="27" t="s">
        <v>566</v>
      </c>
      <c r="X2" s="1"/>
      <c r="Y2" s="200" t="s">
        <v>567</v>
      </c>
      <c r="AA2" s="573" t="s">
        <v>568</v>
      </c>
    </row>
    <row r="3" spans="1:27" ht="14.4">
      <c r="A3" s="153" t="s">
        <v>48</v>
      </c>
      <c r="B3" s="606" t="s">
        <v>569</v>
      </c>
      <c r="C3" s="24">
        <v>0.105</v>
      </c>
      <c r="E3" s="9" t="s">
        <v>570</v>
      </c>
      <c r="G3" s="9" t="s">
        <v>570</v>
      </c>
      <c r="H3" s="9" t="s">
        <v>571</v>
      </c>
      <c r="J3" s="13" t="s">
        <v>572</v>
      </c>
      <c r="K3" s="136">
        <v>0.2</v>
      </c>
      <c r="L3" s="636" t="s">
        <v>8</v>
      </c>
      <c r="M3" s="656" t="s">
        <v>2397</v>
      </c>
      <c r="N3" s="663" t="str">
        <f>L3&amp;M3</f>
        <v>東京都千代田区</v>
      </c>
      <c r="O3" s="664">
        <v>11.4</v>
      </c>
      <c r="P3" s="665">
        <v>11.1</v>
      </c>
      <c r="Q3" s="666">
        <v>10.9</v>
      </c>
      <c r="R3" s="633" t="s">
        <v>573</v>
      </c>
      <c r="S3" s="136">
        <v>0.7</v>
      </c>
      <c r="T3" s="114"/>
      <c r="U3" s="579" t="s">
        <v>574</v>
      </c>
      <c r="V3" s="114"/>
      <c r="W3" s="22" t="s">
        <v>575</v>
      </c>
      <c r="X3" s="1"/>
      <c r="Y3" s="201" t="s">
        <v>575</v>
      </c>
      <c r="AA3" s="201" t="s">
        <v>423</v>
      </c>
    </row>
    <row r="4" spans="1:27" ht="15" thickBot="1">
      <c r="A4" s="154" t="s">
        <v>62</v>
      </c>
      <c r="B4" s="607" t="s">
        <v>576</v>
      </c>
      <c r="C4" s="24">
        <v>0.105</v>
      </c>
      <c r="E4" s="7" t="s">
        <v>577</v>
      </c>
      <c r="G4" s="7" t="s">
        <v>570</v>
      </c>
      <c r="H4" s="7" t="s">
        <v>578</v>
      </c>
      <c r="J4" s="11" t="s">
        <v>572</v>
      </c>
      <c r="K4" s="16">
        <v>0.2</v>
      </c>
      <c r="L4" s="637" t="s">
        <v>8</v>
      </c>
      <c r="M4" s="625" t="s">
        <v>2398</v>
      </c>
      <c r="N4" s="642" t="str">
        <f t="shared" ref="N4:N67" si="0">L4&amp;M4</f>
        <v>東京都中央区</v>
      </c>
      <c r="O4" s="644">
        <v>11.4</v>
      </c>
      <c r="P4" s="623">
        <v>11.1</v>
      </c>
      <c r="Q4" s="624">
        <v>10.9</v>
      </c>
      <c r="R4" s="634" t="s">
        <v>579</v>
      </c>
      <c r="S4" s="16">
        <v>0.7</v>
      </c>
      <c r="T4" s="135"/>
      <c r="U4" s="6" t="s">
        <v>580</v>
      </c>
      <c r="V4" s="135"/>
      <c r="W4" s="21"/>
      <c r="X4" s="1"/>
      <c r="Y4" s="202" t="s">
        <v>567</v>
      </c>
      <c r="AA4" s="202" t="s">
        <v>581</v>
      </c>
    </row>
    <row r="5" spans="1:27" ht="15" thickBot="1">
      <c r="A5" s="154" t="s">
        <v>65</v>
      </c>
      <c r="B5" s="607" t="s">
        <v>582</v>
      </c>
      <c r="C5" s="24">
        <v>0.105</v>
      </c>
      <c r="E5" s="7" t="s">
        <v>583</v>
      </c>
      <c r="G5" s="7" t="s">
        <v>570</v>
      </c>
      <c r="H5" s="7" t="s">
        <v>584</v>
      </c>
      <c r="J5" s="11" t="s">
        <v>572</v>
      </c>
      <c r="K5" s="16">
        <v>0.2</v>
      </c>
      <c r="L5" s="637" t="s">
        <v>8</v>
      </c>
      <c r="M5" s="625" t="s">
        <v>2399</v>
      </c>
      <c r="N5" s="642" t="str">
        <f t="shared" si="0"/>
        <v>東京都港区</v>
      </c>
      <c r="O5" s="644">
        <v>11.4</v>
      </c>
      <c r="P5" s="623">
        <v>11.1</v>
      </c>
      <c r="Q5" s="624">
        <v>10.9</v>
      </c>
      <c r="R5" s="634" t="s">
        <v>585</v>
      </c>
      <c r="S5" s="16">
        <v>0.7</v>
      </c>
      <c r="T5" s="135"/>
      <c r="U5" s="580"/>
      <c r="V5" s="135"/>
      <c r="W5" s="1"/>
      <c r="X5" s="1"/>
      <c r="Y5" s="21"/>
      <c r="AA5" s="574" t="s">
        <v>586</v>
      </c>
    </row>
    <row r="6" spans="1:27" ht="14.4">
      <c r="A6" s="155" t="s">
        <v>55</v>
      </c>
      <c r="B6" s="607" t="s">
        <v>56</v>
      </c>
      <c r="C6" s="25">
        <v>6.3E-2</v>
      </c>
      <c r="E6" s="7" t="s">
        <v>587</v>
      </c>
      <c r="G6" s="7" t="s">
        <v>570</v>
      </c>
      <c r="H6" s="7" t="s">
        <v>588</v>
      </c>
      <c r="J6" s="11" t="s">
        <v>572</v>
      </c>
      <c r="K6" s="16">
        <v>0.2</v>
      </c>
      <c r="L6" s="637" t="s">
        <v>8</v>
      </c>
      <c r="M6" s="625" t="s">
        <v>2400</v>
      </c>
      <c r="N6" s="642" t="str">
        <f t="shared" si="0"/>
        <v>東京都新宿区</v>
      </c>
      <c r="O6" s="644">
        <v>11.4</v>
      </c>
      <c r="P6" s="623">
        <v>11.1</v>
      </c>
      <c r="Q6" s="624">
        <v>10.9</v>
      </c>
      <c r="R6" s="634" t="s">
        <v>589</v>
      </c>
      <c r="S6" s="16">
        <v>0.7</v>
      </c>
      <c r="T6" s="114"/>
      <c r="U6" s="114"/>
      <c r="V6" s="114"/>
      <c r="W6" s="134"/>
      <c r="X6" s="1"/>
      <c r="AA6" s="574" t="s">
        <v>590</v>
      </c>
    </row>
    <row r="7" spans="1:27" ht="15" thickBot="1">
      <c r="A7" s="154" t="s">
        <v>71</v>
      </c>
      <c r="B7" s="607" t="s">
        <v>58</v>
      </c>
      <c r="C7" s="25">
        <v>6.3E-2</v>
      </c>
      <c r="E7" s="7" t="s">
        <v>591</v>
      </c>
      <c r="G7" s="7" t="s">
        <v>570</v>
      </c>
      <c r="H7" s="7" t="s">
        <v>592</v>
      </c>
      <c r="J7" s="11" t="s">
        <v>572</v>
      </c>
      <c r="K7" s="16">
        <v>0.2</v>
      </c>
      <c r="L7" s="637" t="s">
        <v>8</v>
      </c>
      <c r="M7" s="625" t="s">
        <v>2401</v>
      </c>
      <c r="N7" s="642" t="str">
        <f t="shared" si="0"/>
        <v>東京都文京区</v>
      </c>
      <c r="O7" s="644">
        <v>11.4</v>
      </c>
      <c r="P7" s="623">
        <v>11.1</v>
      </c>
      <c r="Q7" s="624">
        <v>10.9</v>
      </c>
      <c r="R7" s="634" t="s">
        <v>593</v>
      </c>
      <c r="S7" s="16">
        <v>0.7</v>
      </c>
      <c r="T7" s="135"/>
      <c r="U7" s="135"/>
      <c r="V7" s="135"/>
      <c r="W7" s="1"/>
      <c r="X7" s="1"/>
      <c r="AA7" s="575" t="s">
        <v>594</v>
      </c>
    </row>
    <row r="8" spans="1:27" ht="14.4">
      <c r="A8" s="154" t="s">
        <v>74</v>
      </c>
      <c r="B8" s="607" t="s">
        <v>595</v>
      </c>
      <c r="C8" s="25">
        <v>6.4000000000000001E-2</v>
      </c>
      <c r="E8" s="7" t="s">
        <v>596</v>
      </c>
      <c r="G8" s="7" t="s">
        <v>570</v>
      </c>
      <c r="H8" s="7" t="s">
        <v>597</v>
      </c>
      <c r="J8" s="11" t="s">
        <v>572</v>
      </c>
      <c r="K8" s="16">
        <v>0.2</v>
      </c>
      <c r="L8" s="637" t="s">
        <v>8</v>
      </c>
      <c r="M8" s="625" t="s">
        <v>2402</v>
      </c>
      <c r="N8" s="642" t="str">
        <f t="shared" si="0"/>
        <v>東京都台東区</v>
      </c>
      <c r="O8" s="644">
        <v>11.4</v>
      </c>
      <c r="P8" s="623">
        <v>11.1</v>
      </c>
      <c r="Q8" s="624">
        <v>10.9</v>
      </c>
      <c r="R8" s="634" t="s">
        <v>598</v>
      </c>
      <c r="S8" s="16">
        <v>0.45</v>
      </c>
      <c r="T8" s="135"/>
      <c r="U8" s="135"/>
      <c r="V8" s="135"/>
      <c r="W8" s="1"/>
      <c r="X8" s="1"/>
    </row>
    <row r="9" spans="1:27" ht="14.4">
      <c r="A9" s="154" t="s">
        <v>78</v>
      </c>
      <c r="B9" s="607" t="s">
        <v>599</v>
      </c>
      <c r="C9" s="25">
        <v>6.4000000000000001E-2</v>
      </c>
      <c r="E9" s="7" t="s">
        <v>600</v>
      </c>
      <c r="G9" s="7" t="s">
        <v>570</v>
      </c>
      <c r="H9" s="7" t="s">
        <v>601</v>
      </c>
      <c r="J9" s="11" t="s">
        <v>572</v>
      </c>
      <c r="K9" s="16">
        <v>0.2</v>
      </c>
      <c r="L9" s="637" t="s">
        <v>8</v>
      </c>
      <c r="M9" s="625" t="s">
        <v>2403</v>
      </c>
      <c r="N9" s="642" t="str">
        <f t="shared" si="0"/>
        <v>東京都墨田区</v>
      </c>
      <c r="O9" s="644">
        <v>11.4</v>
      </c>
      <c r="P9" s="623">
        <v>11.1</v>
      </c>
      <c r="Q9" s="624">
        <v>10.9</v>
      </c>
      <c r="R9" s="634" t="s">
        <v>602</v>
      </c>
      <c r="S9" s="16">
        <v>0.45</v>
      </c>
      <c r="T9" s="135"/>
      <c r="U9" s="135"/>
      <c r="V9" s="135"/>
      <c r="W9" s="1"/>
      <c r="X9" s="1"/>
    </row>
    <row r="10" spans="1:27" ht="14.4">
      <c r="A10" s="154" t="s">
        <v>81</v>
      </c>
      <c r="B10" s="607" t="s">
        <v>61</v>
      </c>
      <c r="C10" s="25">
        <v>5.5E-2</v>
      </c>
      <c r="E10" s="7" t="s">
        <v>603</v>
      </c>
      <c r="G10" s="7" t="s">
        <v>570</v>
      </c>
      <c r="H10" s="7" t="s">
        <v>604</v>
      </c>
      <c r="J10" s="11" t="s">
        <v>572</v>
      </c>
      <c r="K10" s="16">
        <v>0.2</v>
      </c>
      <c r="L10" s="637" t="s">
        <v>8</v>
      </c>
      <c r="M10" s="625" t="s">
        <v>2404</v>
      </c>
      <c r="N10" s="642" t="str">
        <f t="shared" si="0"/>
        <v>東京都江東区</v>
      </c>
      <c r="O10" s="644">
        <v>11.4</v>
      </c>
      <c r="P10" s="623">
        <v>11.1</v>
      </c>
      <c r="Q10" s="624">
        <v>10.9</v>
      </c>
      <c r="R10" s="634" t="s">
        <v>605</v>
      </c>
      <c r="S10" s="16">
        <v>0.55000000000000004</v>
      </c>
      <c r="T10" s="135"/>
      <c r="U10" s="135"/>
      <c r="V10" s="135"/>
      <c r="W10" s="1"/>
      <c r="X10" s="1"/>
    </row>
    <row r="11" spans="1:27" ht="14.4">
      <c r="A11" s="154" t="s">
        <v>85</v>
      </c>
      <c r="B11" s="607" t="s">
        <v>64</v>
      </c>
      <c r="C11" s="25">
        <v>5.5E-2</v>
      </c>
      <c r="E11" s="7" t="s">
        <v>606</v>
      </c>
      <c r="G11" s="7" t="s">
        <v>570</v>
      </c>
      <c r="H11" s="7" t="s">
        <v>607</v>
      </c>
      <c r="J11" s="11" t="s">
        <v>572</v>
      </c>
      <c r="K11" s="16">
        <v>0.2</v>
      </c>
      <c r="L11" s="637" t="s">
        <v>8</v>
      </c>
      <c r="M11" s="625" t="s">
        <v>2405</v>
      </c>
      <c r="N11" s="642" t="str">
        <f t="shared" si="0"/>
        <v>東京都品川区</v>
      </c>
      <c r="O11" s="644">
        <v>11.4</v>
      </c>
      <c r="P11" s="623">
        <v>11.1</v>
      </c>
      <c r="Q11" s="624">
        <v>10.9</v>
      </c>
      <c r="R11" s="634" t="s">
        <v>608</v>
      </c>
      <c r="S11" s="16">
        <v>0.55000000000000004</v>
      </c>
      <c r="T11" s="135"/>
      <c r="U11" s="135"/>
      <c r="V11" s="135"/>
      <c r="W11" s="1"/>
      <c r="X11" s="1"/>
    </row>
    <row r="12" spans="1:27" ht="14.4">
      <c r="A12" s="154" t="s">
        <v>88</v>
      </c>
      <c r="B12" s="607" t="s">
        <v>68</v>
      </c>
      <c r="C12" s="25">
        <v>7.3999999999999996E-2</v>
      </c>
      <c r="E12" s="7" t="s">
        <v>609</v>
      </c>
      <c r="G12" s="7" t="s">
        <v>570</v>
      </c>
      <c r="H12" s="7" t="s">
        <v>610</v>
      </c>
      <c r="J12" s="11" t="s">
        <v>572</v>
      </c>
      <c r="K12" s="16">
        <v>0.2</v>
      </c>
      <c r="L12" s="637" t="s">
        <v>8</v>
      </c>
      <c r="M12" s="625" t="s">
        <v>2407</v>
      </c>
      <c r="N12" s="642" t="str">
        <f t="shared" si="0"/>
        <v>東京都目黒区</v>
      </c>
      <c r="O12" s="644">
        <v>11.4</v>
      </c>
      <c r="P12" s="623">
        <v>11.1</v>
      </c>
      <c r="Q12" s="624">
        <v>10.9</v>
      </c>
      <c r="R12" s="634" t="s">
        <v>92</v>
      </c>
      <c r="S12" s="16">
        <v>0.45</v>
      </c>
      <c r="T12" s="135"/>
      <c r="U12" s="135"/>
      <c r="V12" s="135"/>
      <c r="W12" s="1"/>
      <c r="X12" s="1"/>
    </row>
    <row r="13" spans="1:27" ht="14.4">
      <c r="A13" s="154" t="s">
        <v>92</v>
      </c>
      <c r="B13" s="607" t="s">
        <v>70</v>
      </c>
      <c r="C13" s="25">
        <v>7.3999999999999996E-2</v>
      </c>
      <c r="E13" s="7" t="s">
        <v>611</v>
      </c>
      <c r="G13" s="7" t="s">
        <v>570</v>
      </c>
      <c r="H13" s="7" t="s">
        <v>612</v>
      </c>
      <c r="J13" s="11" t="s">
        <v>572</v>
      </c>
      <c r="K13" s="16">
        <v>0.2</v>
      </c>
      <c r="L13" s="637" t="s">
        <v>8</v>
      </c>
      <c r="M13" s="625" t="s">
        <v>2408</v>
      </c>
      <c r="N13" s="642" t="str">
        <f t="shared" si="0"/>
        <v>東京都大田区</v>
      </c>
      <c r="O13" s="644">
        <v>11.4</v>
      </c>
      <c r="P13" s="623">
        <v>11.1</v>
      </c>
      <c r="Q13" s="624">
        <v>10.9</v>
      </c>
      <c r="R13" s="634" t="s">
        <v>613</v>
      </c>
      <c r="S13" s="16">
        <v>0.45</v>
      </c>
      <c r="T13" s="135"/>
      <c r="U13" s="135"/>
      <c r="V13" s="135"/>
      <c r="W13" s="1"/>
      <c r="X13" s="1"/>
    </row>
    <row r="14" spans="1:27" ht="14.4">
      <c r="A14" s="154" t="s">
        <v>95</v>
      </c>
      <c r="B14" s="607" t="s">
        <v>73</v>
      </c>
      <c r="C14" s="25">
        <v>7.3999999999999996E-2</v>
      </c>
      <c r="E14" s="7" t="s">
        <v>614</v>
      </c>
      <c r="G14" s="7" t="s">
        <v>570</v>
      </c>
      <c r="H14" s="7" t="s">
        <v>615</v>
      </c>
      <c r="J14" s="11" t="s">
        <v>572</v>
      </c>
      <c r="K14" s="16">
        <v>0.2</v>
      </c>
      <c r="L14" s="637" t="s">
        <v>8</v>
      </c>
      <c r="M14" s="625" t="s">
        <v>2409</v>
      </c>
      <c r="N14" s="642" t="str">
        <f t="shared" si="0"/>
        <v>東京都世田谷区</v>
      </c>
      <c r="O14" s="644">
        <v>11.4</v>
      </c>
      <c r="P14" s="623">
        <v>11.1</v>
      </c>
      <c r="Q14" s="624">
        <v>10.9</v>
      </c>
      <c r="R14" s="634" t="s">
        <v>616</v>
      </c>
      <c r="S14" s="16">
        <v>0.45</v>
      </c>
      <c r="T14" s="135"/>
      <c r="U14" s="135"/>
      <c r="V14" s="135"/>
      <c r="W14" s="1"/>
      <c r="X14" s="1"/>
    </row>
    <row r="15" spans="1:27" ht="14.4">
      <c r="A15" s="154" t="s">
        <v>98</v>
      </c>
      <c r="B15" s="607" t="s">
        <v>77</v>
      </c>
      <c r="C15" s="25">
        <v>7.3999999999999996E-2</v>
      </c>
      <c r="E15" s="7" t="s">
        <v>617</v>
      </c>
      <c r="G15" s="7" t="s">
        <v>570</v>
      </c>
      <c r="H15" s="7" t="s">
        <v>618</v>
      </c>
      <c r="J15" s="11" t="s">
        <v>572</v>
      </c>
      <c r="K15" s="16">
        <v>0.2</v>
      </c>
      <c r="L15" s="637" t="s">
        <v>8</v>
      </c>
      <c r="M15" s="625" t="s">
        <v>2410</v>
      </c>
      <c r="N15" s="642" t="str">
        <f t="shared" si="0"/>
        <v>東京都渋谷区</v>
      </c>
      <c r="O15" s="644">
        <v>11.4</v>
      </c>
      <c r="P15" s="623">
        <v>11.1</v>
      </c>
      <c r="Q15" s="624">
        <v>10.9</v>
      </c>
      <c r="R15" s="634" t="s">
        <v>619</v>
      </c>
      <c r="S15" s="16">
        <v>0.45</v>
      </c>
      <c r="T15" s="135"/>
      <c r="U15" s="135"/>
      <c r="V15" s="135"/>
      <c r="W15" s="1"/>
      <c r="X15" s="1"/>
    </row>
    <row r="16" spans="1:27" ht="14.4">
      <c r="A16" s="154" t="s">
        <v>101</v>
      </c>
      <c r="B16" s="607" t="s">
        <v>80</v>
      </c>
      <c r="C16" s="25">
        <v>7.3999999999999996E-2</v>
      </c>
      <c r="E16" s="7" t="s">
        <v>620</v>
      </c>
      <c r="G16" s="7" t="s">
        <v>570</v>
      </c>
      <c r="H16" s="7" t="s">
        <v>621</v>
      </c>
      <c r="J16" s="11" t="s">
        <v>572</v>
      </c>
      <c r="K16" s="16">
        <v>0.2</v>
      </c>
      <c r="L16" s="637" t="s">
        <v>8</v>
      </c>
      <c r="M16" s="625" t="s">
        <v>2411</v>
      </c>
      <c r="N16" s="642" t="str">
        <f t="shared" si="0"/>
        <v>東京都中野区</v>
      </c>
      <c r="O16" s="644">
        <v>11.4</v>
      </c>
      <c r="P16" s="623">
        <v>11.1</v>
      </c>
      <c r="Q16" s="624">
        <v>10.9</v>
      </c>
      <c r="R16" s="634" t="s">
        <v>622</v>
      </c>
      <c r="S16" s="16">
        <v>0.45</v>
      </c>
      <c r="T16" s="135"/>
      <c r="U16" s="135"/>
      <c r="V16" s="135"/>
      <c r="W16" s="1"/>
      <c r="X16" s="1"/>
    </row>
    <row r="17" spans="1:24" ht="14.4">
      <c r="A17" s="154" t="s">
        <v>105</v>
      </c>
      <c r="B17" s="607" t="s">
        <v>84</v>
      </c>
      <c r="C17" s="25">
        <v>0.13200000000000001</v>
      </c>
      <c r="E17" s="7" t="s">
        <v>623</v>
      </c>
      <c r="G17" s="7" t="s">
        <v>570</v>
      </c>
      <c r="H17" s="7" t="s">
        <v>624</v>
      </c>
      <c r="J17" s="11" t="s">
        <v>572</v>
      </c>
      <c r="K17" s="16">
        <v>0.2</v>
      </c>
      <c r="L17" s="637" t="s">
        <v>8</v>
      </c>
      <c r="M17" s="625" t="s">
        <v>2412</v>
      </c>
      <c r="N17" s="642" t="str">
        <f t="shared" si="0"/>
        <v>東京都杉並区</v>
      </c>
      <c r="O17" s="644">
        <v>11.4</v>
      </c>
      <c r="P17" s="623">
        <v>11.1</v>
      </c>
      <c r="Q17" s="624">
        <v>10.9</v>
      </c>
      <c r="R17" s="634" t="s">
        <v>625</v>
      </c>
      <c r="S17" s="16">
        <v>0.55000000000000004</v>
      </c>
      <c r="T17" s="135"/>
      <c r="U17" s="135"/>
      <c r="V17" s="135"/>
      <c r="W17" s="1"/>
      <c r="X17" s="1"/>
    </row>
    <row r="18" spans="1:24" ht="14.4">
      <c r="A18" s="154" t="s">
        <v>108</v>
      </c>
      <c r="B18" s="607" t="s">
        <v>87</v>
      </c>
      <c r="C18" s="25">
        <v>0.13200000000000001</v>
      </c>
      <c r="E18" s="7" t="s">
        <v>626</v>
      </c>
      <c r="G18" s="7" t="s">
        <v>570</v>
      </c>
      <c r="H18" s="7" t="s">
        <v>627</v>
      </c>
      <c r="J18" s="11" t="s">
        <v>572</v>
      </c>
      <c r="K18" s="16">
        <v>0.2</v>
      </c>
      <c r="L18" s="637" t="s">
        <v>8</v>
      </c>
      <c r="M18" s="625" t="s">
        <v>2413</v>
      </c>
      <c r="N18" s="642" t="str">
        <f t="shared" si="0"/>
        <v>東京都豊島区</v>
      </c>
      <c r="O18" s="644">
        <v>11.4</v>
      </c>
      <c r="P18" s="623">
        <v>11.1</v>
      </c>
      <c r="Q18" s="624">
        <v>10.9</v>
      </c>
      <c r="R18" s="634" t="s">
        <v>628</v>
      </c>
      <c r="S18" s="16">
        <v>0.55000000000000004</v>
      </c>
      <c r="T18" s="135"/>
      <c r="U18" s="135"/>
      <c r="V18" s="135"/>
      <c r="W18" s="1"/>
      <c r="X18" s="1"/>
    </row>
    <row r="19" spans="1:24" ht="14.4">
      <c r="A19" s="154" t="s">
        <v>112</v>
      </c>
      <c r="B19" s="607" t="s">
        <v>91</v>
      </c>
      <c r="C19" s="25">
        <v>8.4000000000000005E-2</v>
      </c>
      <c r="E19" s="7" t="s">
        <v>629</v>
      </c>
      <c r="G19" s="7" t="s">
        <v>570</v>
      </c>
      <c r="H19" s="7" t="s">
        <v>630</v>
      </c>
      <c r="J19" s="11" t="s">
        <v>572</v>
      </c>
      <c r="K19" s="16">
        <v>0.2</v>
      </c>
      <c r="L19" s="637" t="s">
        <v>8</v>
      </c>
      <c r="M19" s="625" t="s">
        <v>2414</v>
      </c>
      <c r="N19" s="642" t="str">
        <f t="shared" si="0"/>
        <v>東京都北区</v>
      </c>
      <c r="O19" s="644">
        <v>11.4</v>
      </c>
      <c r="P19" s="623">
        <v>11.1</v>
      </c>
      <c r="Q19" s="624">
        <v>10.9</v>
      </c>
      <c r="R19" s="634" t="s">
        <v>631</v>
      </c>
      <c r="S19" s="16">
        <v>0.55000000000000004</v>
      </c>
      <c r="T19" s="135"/>
      <c r="U19" s="135"/>
      <c r="V19" s="135"/>
      <c r="W19" s="1"/>
      <c r="X19" s="1"/>
    </row>
    <row r="20" spans="1:24" ht="14.4">
      <c r="A20" s="154" t="s">
        <v>115</v>
      </c>
      <c r="B20" s="607" t="s">
        <v>94</v>
      </c>
      <c r="C20" s="25">
        <v>8.4000000000000005E-2</v>
      </c>
      <c r="E20" s="7" t="s">
        <v>632</v>
      </c>
      <c r="G20" s="7" t="s">
        <v>570</v>
      </c>
      <c r="H20" s="7" t="s">
        <v>633</v>
      </c>
      <c r="J20" s="11" t="s">
        <v>572</v>
      </c>
      <c r="K20" s="16">
        <v>0.2</v>
      </c>
      <c r="L20" s="637" t="s">
        <v>8</v>
      </c>
      <c r="M20" s="625" t="s">
        <v>2415</v>
      </c>
      <c r="N20" s="642" t="str">
        <f t="shared" si="0"/>
        <v>東京都荒川区</v>
      </c>
      <c r="O20" s="644">
        <v>11.4</v>
      </c>
      <c r="P20" s="623">
        <v>11.1</v>
      </c>
      <c r="Q20" s="624">
        <v>10.9</v>
      </c>
      <c r="R20" s="634" t="s">
        <v>634</v>
      </c>
      <c r="S20" s="16">
        <v>0.55000000000000004</v>
      </c>
      <c r="T20" s="135"/>
      <c r="U20" s="135"/>
      <c r="V20" s="135"/>
      <c r="W20" s="1"/>
      <c r="X20" s="1"/>
    </row>
    <row r="21" spans="1:24" ht="14.4">
      <c r="A21" s="154" t="s">
        <v>118</v>
      </c>
      <c r="B21" s="607" t="s">
        <v>97</v>
      </c>
      <c r="C21" s="25">
        <v>8.4000000000000005E-2</v>
      </c>
      <c r="E21" s="7" t="s">
        <v>635</v>
      </c>
      <c r="G21" s="7" t="s">
        <v>570</v>
      </c>
      <c r="H21" s="7" t="s">
        <v>636</v>
      </c>
      <c r="J21" s="11" t="s">
        <v>572</v>
      </c>
      <c r="K21" s="16">
        <v>0.2</v>
      </c>
      <c r="L21" s="637" t="s">
        <v>8</v>
      </c>
      <c r="M21" s="625" t="s">
        <v>2416</v>
      </c>
      <c r="N21" s="642" t="str">
        <f t="shared" si="0"/>
        <v>東京都板橋区</v>
      </c>
      <c r="O21" s="644">
        <v>11.4</v>
      </c>
      <c r="P21" s="623">
        <v>11.1</v>
      </c>
      <c r="Q21" s="624">
        <v>10.9</v>
      </c>
      <c r="R21" s="634" t="s">
        <v>637</v>
      </c>
      <c r="S21" s="16">
        <v>0.55000000000000004</v>
      </c>
      <c r="T21" s="135"/>
      <c r="U21" s="135"/>
      <c r="V21" s="135"/>
      <c r="W21" s="1"/>
      <c r="X21" s="1"/>
    </row>
    <row r="22" spans="1:24" ht="14.4">
      <c r="A22" s="154" t="s">
        <v>121</v>
      </c>
      <c r="B22" s="607" t="s">
        <v>100</v>
      </c>
      <c r="C22" s="25">
        <v>8.4000000000000005E-2</v>
      </c>
      <c r="E22" s="7" t="s">
        <v>638</v>
      </c>
      <c r="G22" s="7" t="s">
        <v>570</v>
      </c>
      <c r="H22" s="7" t="s">
        <v>639</v>
      </c>
      <c r="J22" s="11" t="s">
        <v>572</v>
      </c>
      <c r="K22" s="16">
        <v>0.2</v>
      </c>
      <c r="L22" s="637" t="s">
        <v>8</v>
      </c>
      <c r="M22" s="625" t="s">
        <v>2417</v>
      </c>
      <c r="N22" s="642" t="str">
        <f t="shared" si="0"/>
        <v>東京都練馬区</v>
      </c>
      <c r="O22" s="644">
        <v>11.4</v>
      </c>
      <c r="P22" s="623">
        <v>11.1</v>
      </c>
      <c r="Q22" s="624">
        <v>10.9</v>
      </c>
      <c r="R22" s="634" t="s">
        <v>640</v>
      </c>
      <c r="S22" s="16">
        <v>0.55000000000000004</v>
      </c>
      <c r="T22" s="135"/>
      <c r="U22" s="1"/>
      <c r="V22" s="1"/>
      <c r="W22" s="1"/>
      <c r="X22" s="1"/>
    </row>
    <row r="23" spans="1:24" ht="14.4">
      <c r="A23" s="154" t="s">
        <v>125</v>
      </c>
      <c r="B23" s="607" t="s">
        <v>104</v>
      </c>
      <c r="C23" s="25">
        <v>8.4000000000000005E-2</v>
      </c>
      <c r="E23" s="7" t="s">
        <v>641</v>
      </c>
      <c r="G23" s="7" t="s">
        <v>570</v>
      </c>
      <c r="H23" s="7" t="s">
        <v>642</v>
      </c>
      <c r="J23" s="11" t="s">
        <v>572</v>
      </c>
      <c r="K23" s="16">
        <v>0.2</v>
      </c>
      <c r="L23" s="637" t="s">
        <v>8</v>
      </c>
      <c r="M23" s="625" t="s">
        <v>2418</v>
      </c>
      <c r="N23" s="642" t="str">
        <f t="shared" si="0"/>
        <v>東京都足立区</v>
      </c>
      <c r="O23" s="644">
        <v>11.4</v>
      </c>
      <c r="P23" s="623">
        <v>11.1</v>
      </c>
      <c r="Q23" s="624">
        <v>10.9</v>
      </c>
      <c r="R23" s="634" t="s">
        <v>643</v>
      </c>
      <c r="S23" s="16">
        <v>0.55000000000000004</v>
      </c>
      <c r="T23" s="135"/>
      <c r="U23" s="1"/>
      <c r="V23" s="1"/>
      <c r="W23" s="1"/>
      <c r="X23" s="1"/>
    </row>
    <row r="24" spans="1:24" ht="14.4">
      <c r="A24" s="154" t="s">
        <v>128</v>
      </c>
      <c r="B24" s="607" t="s">
        <v>107</v>
      </c>
      <c r="C24" s="25">
        <v>8.4000000000000005E-2</v>
      </c>
      <c r="E24" s="7" t="s">
        <v>644</v>
      </c>
      <c r="G24" s="7" t="s">
        <v>570</v>
      </c>
      <c r="H24" s="7" t="s">
        <v>645</v>
      </c>
      <c r="J24" s="11" t="s">
        <v>572</v>
      </c>
      <c r="K24" s="16">
        <v>0.2</v>
      </c>
      <c r="L24" s="637" t="s">
        <v>8</v>
      </c>
      <c r="M24" s="625" t="s">
        <v>2419</v>
      </c>
      <c r="N24" s="642" t="str">
        <f t="shared" si="0"/>
        <v>東京都葛飾区</v>
      </c>
      <c r="O24" s="644">
        <v>11.4</v>
      </c>
      <c r="P24" s="623">
        <v>11.1</v>
      </c>
      <c r="Q24" s="624">
        <v>10.9</v>
      </c>
      <c r="R24" s="634" t="s">
        <v>646</v>
      </c>
      <c r="S24" s="16">
        <v>0.55000000000000004</v>
      </c>
      <c r="T24" s="135"/>
      <c r="U24" s="1"/>
      <c r="V24" s="1"/>
      <c r="W24" s="1"/>
      <c r="X24" s="1"/>
    </row>
    <row r="25" spans="1:24" ht="15" thickBot="1">
      <c r="A25" s="154" t="s">
        <v>132</v>
      </c>
      <c r="B25" s="607" t="s">
        <v>111</v>
      </c>
      <c r="C25" s="25">
        <v>0.113</v>
      </c>
      <c r="E25" s="7" t="s">
        <v>647</v>
      </c>
      <c r="G25" s="7" t="s">
        <v>570</v>
      </c>
      <c r="H25" s="7" t="s">
        <v>648</v>
      </c>
      <c r="J25" s="12" t="s">
        <v>572</v>
      </c>
      <c r="K25" s="631">
        <v>0.2</v>
      </c>
      <c r="L25" s="638" t="s">
        <v>8</v>
      </c>
      <c r="M25" s="628" t="s">
        <v>2420</v>
      </c>
      <c r="N25" s="667" t="str">
        <f t="shared" si="0"/>
        <v>東京都江戸川区</v>
      </c>
      <c r="O25" s="668">
        <v>11.4</v>
      </c>
      <c r="P25" s="669">
        <v>11.1</v>
      </c>
      <c r="Q25" s="670">
        <v>10.9</v>
      </c>
      <c r="R25" s="634" t="s">
        <v>649</v>
      </c>
      <c r="S25" s="16">
        <v>0.45</v>
      </c>
      <c r="T25" s="135"/>
      <c r="U25" s="1"/>
      <c r="V25" s="1"/>
      <c r="W25" s="1"/>
      <c r="X25" s="1"/>
    </row>
    <row r="26" spans="1:24" ht="14.4">
      <c r="A26" s="154" t="s">
        <v>135</v>
      </c>
      <c r="B26" s="607" t="s">
        <v>114</v>
      </c>
      <c r="C26" s="25">
        <v>0.113</v>
      </c>
      <c r="E26" s="7" t="s">
        <v>650</v>
      </c>
      <c r="G26" s="7" t="s">
        <v>570</v>
      </c>
      <c r="H26" s="7" t="s">
        <v>651</v>
      </c>
      <c r="J26" s="619" t="s">
        <v>652</v>
      </c>
      <c r="K26" s="649">
        <v>0.16</v>
      </c>
      <c r="L26" s="646" t="s">
        <v>8</v>
      </c>
      <c r="M26" s="626" t="s">
        <v>1339</v>
      </c>
      <c r="N26" s="662" t="str">
        <f t="shared" si="0"/>
        <v>東京都調布市</v>
      </c>
      <c r="O26" s="621">
        <v>11.12</v>
      </c>
      <c r="P26" s="626">
        <v>10.88</v>
      </c>
      <c r="Q26" s="657">
        <v>10.72</v>
      </c>
      <c r="R26" s="634" t="s">
        <v>653</v>
      </c>
      <c r="S26" s="16">
        <v>0.45</v>
      </c>
      <c r="T26" s="135"/>
      <c r="U26" s="1"/>
      <c r="V26" s="1"/>
      <c r="W26" s="1"/>
      <c r="X26" s="1"/>
    </row>
    <row r="27" spans="1:24" ht="14.4">
      <c r="A27" s="154" t="s">
        <v>139</v>
      </c>
      <c r="B27" s="607" t="s">
        <v>117</v>
      </c>
      <c r="C27" s="25">
        <v>0.113</v>
      </c>
      <c r="E27" s="7" t="s">
        <v>654</v>
      </c>
      <c r="G27" s="7" t="s">
        <v>570</v>
      </c>
      <c r="H27" s="7" t="s">
        <v>655</v>
      </c>
      <c r="J27" s="11" t="s">
        <v>652</v>
      </c>
      <c r="K27" s="16">
        <v>0.16</v>
      </c>
      <c r="L27" s="637" t="s">
        <v>8</v>
      </c>
      <c r="M27" s="625" t="s">
        <v>2421</v>
      </c>
      <c r="N27" s="658" t="str">
        <f t="shared" si="0"/>
        <v>東京都町田市</v>
      </c>
      <c r="O27" s="622">
        <v>11.12</v>
      </c>
      <c r="P27" s="625">
        <v>10.88</v>
      </c>
      <c r="Q27" s="662">
        <v>10.72</v>
      </c>
      <c r="R27" s="634" t="s">
        <v>656</v>
      </c>
      <c r="S27" s="16">
        <v>0.45</v>
      </c>
      <c r="T27" s="135"/>
      <c r="U27" s="1"/>
      <c r="V27" s="1"/>
      <c r="W27" s="1"/>
      <c r="X27" s="1"/>
    </row>
    <row r="28" spans="1:24" ht="14.4">
      <c r="A28" s="154" t="s">
        <v>142</v>
      </c>
      <c r="B28" s="607" t="s">
        <v>120</v>
      </c>
      <c r="C28" s="25">
        <v>0.113</v>
      </c>
      <c r="E28" s="7" t="s">
        <v>657</v>
      </c>
      <c r="G28" s="7" t="s">
        <v>570</v>
      </c>
      <c r="H28" s="7" t="s">
        <v>658</v>
      </c>
      <c r="J28" s="11" t="s">
        <v>652</v>
      </c>
      <c r="K28" s="16">
        <v>0.16</v>
      </c>
      <c r="L28" s="637" t="s">
        <v>8</v>
      </c>
      <c r="M28" s="625" t="s">
        <v>2422</v>
      </c>
      <c r="N28" s="658" t="str">
        <f t="shared" si="0"/>
        <v>東京都狛江市</v>
      </c>
      <c r="O28" s="622">
        <v>11.12</v>
      </c>
      <c r="P28" s="625">
        <v>10.88</v>
      </c>
      <c r="Q28" s="658">
        <v>10.72</v>
      </c>
      <c r="R28" s="634" t="s">
        <v>659</v>
      </c>
      <c r="S28" s="16">
        <v>0.45</v>
      </c>
      <c r="T28" s="135"/>
      <c r="U28" s="1"/>
      <c r="V28" s="1"/>
      <c r="W28" s="1"/>
      <c r="X28" s="1"/>
    </row>
    <row r="29" spans="1:24" ht="14.4">
      <c r="A29" s="154" t="s">
        <v>146</v>
      </c>
      <c r="B29" s="607" t="s">
        <v>660</v>
      </c>
      <c r="C29" s="25">
        <v>8.3000000000000004E-2</v>
      </c>
      <c r="D29" s="115"/>
      <c r="E29" s="7" t="s">
        <v>661</v>
      </c>
      <c r="G29" s="7" t="s">
        <v>570</v>
      </c>
      <c r="H29" s="7" t="s">
        <v>662</v>
      </c>
      <c r="J29" s="11" t="s">
        <v>652</v>
      </c>
      <c r="K29" s="16">
        <v>0.16</v>
      </c>
      <c r="L29" s="637" t="s">
        <v>8</v>
      </c>
      <c r="M29" s="625" t="s">
        <v>2423</v>
      </c>
      <c r="N29" s="658" t="str">
        <f t="shared" si="0"/>
        <v>東京都多摩市</v>
      </c>
      <c r="O29" s="622">
        <v>11.12</v>
      </c>
      <c r="P29" s="625">
        <v>10.88</v>
      </c>
      <c r="Q29" s="658">
        <v>10.72</v>
      </c>
      <c r="R29" s="634" t="s">
        <v>663</v>
      </c>
      <c r="S29" s="16">
        <v>0.45</v>
      </c>
      <c r="T29" s="135"/>
      <c r="U29" s="1"/>
      <c r="V29" s="1"/>
      <c r="W29" s="1"/>
      <c r="X29" s="1"/>
    </row>
    <row r="30" spans="1:24" ht="14.4">
      <c r="A30" s="154" t="s">
        <v>149</v>
      </c>
      <c r="B30" s="607" t="s">
        <v>664</v>
      </c>
      <c r="C30" s="25">
        <v>8.3000000000000004E-2</v>
      </c>
      <c r="D30" s="114"/>
      <c r="E30" s="7" t="s">
        <v>665</v>
      </c>
      <c r="G30" s="7" t="s">
        <v>570</v>
      </c>
      <c r="H30" s="7" t="s">
        <v>666</v>
      </c>
      <c r="J30" s="11" t="s">
        <v>652</v>
      </c>
      <c r="K30" s="16">
        <v>0.16</v>
      </c>
      <c r="L30" s="637" t="s">
        <v>2519</v>
      </c>
      <c r="M30" s="625" t="s">
        <v>2424</v>
      </c>
      <c r="N30" s="658" t="str">
        <f t="shared" si="0"/>
        <v>神奈川県横浜市</v>
      </c>
      <c r="O30" s="622">
        <v>11.12</v>
      </c>
      <c r="P30" s="625">
        <v>10.88</v>
      </c>
      <c r="Q30" s="658">
        <v>10.72</v>
      </c>
      <c r="R30" s="634" t="s">
        <v>667</v>
      </c>
      <c r="S30" s="16">
        <v>0.45</v>
      </c>
      <c r="T30" s="135"/>
      <c r="U30" s="1"/>
      <c r="V30" s="1"/>
      <c r="W30" s="1"/>
      <c r="X30" s="1"/>
    </row>
    <row r="31" spans="1:24" ht="14.4">
      <c r="A31" s="154" t="s">
        <v>123</v>
      </c>
      <c r="B31" s="607" t="s">
        <v>124</v>
      </c>
      <c r="C31" s="25">
        <v>8.3000000000000004E-2</v>
      </c>
      <c r="D31" s="114"/>
      <c r="E31" s="7" t="s">
        <v>668</v>
      </c>
      <c r="G31" s="7" t="s">
        <v>570</v>
      </c>
      <c r="H31" s="7" t="s">
        <v>669</v>
      </c>
      <c r="J31" s="11" t="s">
        <v>652</v>
      </c>
      <c r="K31" s="16">
        <v>0.16</v>
      </c>
      <c r="L31" s="637" t="s">
        <v>2519</v>
      </c>
      <c r="M31" s="625" t="s">
        <v>2425</v>
      </c>
      <c r="N31" s="658" t="str">
        <f t="shared" si="0"/>
        <v>神奈川県川崎市</v>
      </c>
      <c r="O31" s="622">
        <v>11.12</v>
      </c>
      <c r="P31" s="625">
        <v>10.88</v>
      </c>
      <c r="Q31" s="658">
        <v>10.72</v>
      </c>
      <c r="R31" s="634" t="s">
        <v>670</v>
      </c>
      <c r="S31" s="16">
        <v>0.55000000000000004</v>
      </c>
      <c r="T31" s="135"/>
      <c r="U31" s="1"/>
      <c r="V31" s="1"/>
      <c r="W31" s="1"/>
      <c r="X31" s="1"/>
    </row>
    <row r="32" spans="1:24" ht="15" thickBot="1">
      <c r="A32" s="154" t="s">
        <v>155</v>
      </c>
      <c r="B32" s="607" t="s">
        <v>127</v>
      </c>
      <c r="C32" s="25">
        <v>8.3000000000000004E-2</v>
      </c>
      <c r="D32" s="114"/>
      <c r="E32" s="7" t="s">
        <v>671</v>
      </c>
      <c r="G32" s="7" t="s">
        <v>570</v>
      </c>
      <c r="H32" s="7" t="s">
        <v>672</v>
      </c>
      <c r="J32" s="17" t="s">
        <v>652</v>
      </c>
      <c r="K32" s="18">
        <v>0.16</v>
      </c>
      <c r="L32" s="661" t="s">
        <v>2520</v>
      </c>
      <c r="M32" s="650" t="s">
        <v>2426</v>
      </c>
      <c r="N32" s="671" t="str">
        <f t="shared" si="0"/>
        <v>大阪府大阪市</v>
      </c>
      <c r="O32" s="651">
        <v>11.12</v>
      </c>
      <c r="P32" s="650">
        <v>10.88</v>
      </c>
      <c r="Q32" s="660">
        <v>10.72</v>
      </c>
      <c r="R32" s="634" t="s">
        <v>674</v>
      </c>
      <c r="S32" s="16">
        <v>0.55000000000000004</v>
      </c>
      <c r="T32" s="135"/>
      <c r="U32" s="1"/>
      <c r="V32" s="1"/>
      <c r="W32" s="1"/>
      <c r="X32" s="1"/>
    </row>
    <row r="33" spans="1:24" ht="14.4">
      <c r="A33" s="154" t="s">
        <v>159</v>
      </c>
      <c r="B33" s="607" t="s">
        <v>675</v>
      </c>
      <c r="C33" s="25">
        <v>4.2999999999999997E-2</v>
      </c>
      <c r="D33" s="114"/>
      <c r="E33" s="7" t="s">
        <v>676</v>
      </c>
      <c r="G33" s="7" t="s">
        <v>570</v>
      </c>
      <c r="H33" s="7" t="s">
        <v>677</v>
      </c>
      <c r="J33" s="13" t="s">
        <v>673</v>
      </c>
      <c r="K33" s="136">
        <v>0.15</v>
      </c>
      <c r="L33" s="636" t="s">
        <v>2521</v>
      </c>
      <c r="M33" s="656" t="s">
        <v>1193</v>
      </c>
      <c r="N33" s="663" t="str">
        <f t="shared" si="0"/>
        <v>埼玉県さいたま市</v>
      </c>
      <c r="O33" s="672">
        <v>11.05</v>
      </c>
      <c r="P33" s="656">
        <v>10.83</v>
      </c>
      <c r="Q33" s="657">
        <v>10.68</v>
      </c>
      <c r="R33" s="634" t="s">
        <v>678</v>
      </c>
      <c r="S33" s="16">
        <v>0.45</v>
      </c>
      <c r="T33" s="135"/>
      <c r="U33" s="1"/>
      <c r="V33" s="1"/>
      <c r="W33" s="1"/>
      <c r="X33" s="1"/>
    </row>
    <row r="34" spans="1:24" ht="14.4">
      <c r="A34" s="154" t="s">
        <v>162</v>
      </c>
      <c r="B34" s="607" t="s">
        <v>131</v>
      </c>
      <c r="C34" s="25">
        <v>4.2999999999999997E-2</v>
      </c>
      <c r="D34" s="114"/>
      <c r="E34" s="7" t="s">
        <v>679</v>
      </c>
      <c r="G34" s="7" t="s">
        <v>570</v>
      </c>
      <c r="H34" s="7" t="s">
        <v>680</v>
      </c>
      <c r="J34" s="11" t="s">
        <v>673</v>
      </c>
      <c r="K34" s="16">
        <v>0.15</v>
      </c>
      <c r="L34" s="637" t="s">
        <v>2522</v>
      </c>
      <c r="M34" s="625" t="s">
        <v>1255</v>
      </c>
      <c r="N34" s="642" t="str">
        <f t="shared" si="0"/>
        <v>千葉県千葉市</v>
      </c>
      <c r="O34" s="622">
        <v>11.05</v>
      </c>
      <c r="P34" s="625">
        <v>10.83</v>
      </c>
      <c r="Q34" s="658">
        <v>10.68</v>
      </c>
      <c r="R34" s="634" t="s">
        <v>681</v>
      </c>
      <c r="S34" s="16">
        <v>0.45</v>
      </c>
      <c r="T34" s="135"/>
      <c r="U34" s="1"/>
      <c r="V34" s="1"/>
      <c r="W34" s="1"/>
      <c r="X34" s="1"/>
    </row>
    <row r="35" spans="1:24" ht="14.4">
      <c r="A35" s="154" t="s">
        <v>163</v>
      </c>
      <c r="B35" s="607" t="s">
        <v>134</v>
      </c>
      <c r="C35" s="25">
        <v>4.2999999999999997E-2</v>
      </c>
      <c r="D35" s="114"/>
      <c r="E35" s="7" t="s">
        <v>682</v>
      </c>
      <c r="G35" s="7" t="s">
        <v>570</v>
      </c>
      <c r="H35" s="7" t="s">
        <v>683</v>
      </c>
      <c r="J35" s="11" t="s">
        <v>673</v>
      </c>
      <c r="K35" s="16">
        <v>0.15</v>
      </c>
      <c r="L35" s="637" t="s">
        <v>2522</v>
      </c>
      <c r="M35" s="625" t="s">
        <v>1279</v>
      </c>
      <c r="N35" s="642" t="str">
        <f t="shared" si="0"/>
        <v>千葉県浦安市</v>
      </c>
      <c r="O35" s="622">
        <v>11.05</v>
      </c>
      <c r="P35" s="625">
        <v>10.83</v>
      </c>
      <c r="Q35" s="658">
        <v>10.68</v>
      </c>
      <c r="R35" s="634" t="s">
        <v>684</v>
      </c>
      <c r="S35" s="16">
        <v>0.45</v>
      </c>
      <c r="T35" s="135"/>
      <c r="U35" s="1"/>
      <c r="V35" s="1"/>
      <c r="W35" s="1"/>
      <c r="X35" s="1"/>
    </row>
    <row r="36" spans="1:24" ht="14.4">
      <c r="A36" s="154" t="s">
        <v>137</v>
      </c>
      <c r="B36" s="607" t="s">
        <v>138</v>
      </c>
      <c r="C36" s="25">
        <v>2.7E-2</v>
      </c>
      <c r="D36" s="114"/>
      <c r="E36" s="7" t="s">
        <v>685</v>
      </c>
      <c r="G36" s="7" t="s">
        <v>570</v>
      </c>
      <c r="H36" s="7" t="s">
        <v>686</v>
      </c>
      <c r="J36" s="11" t="s">
        <v>673</v>
      </c>
      <c r="K36" s="16">
        <v>0.15</v>
      </c>
      <c r="L36" s="637" t="s">
        <v>8</v>
      </c>
      <c r="M36" s="625" t="s">
        <v>1332</v>
      </c>
      <c r="N36" s="642" t="str">
        <f t="shared" si="0"/>
        <v>東京都八王子市</v>
      </c>
      <c r="O36" s="622">
        <v>11.05</v>
      </c>
      <c r="P36" s="625">
        <v>10.83</v>
      </c>
      <c r="Q36" s="658">
        <v>10.68</v>
      </c>
      <c r="R36" s="634" t="s">
        <v>687</v>
      </c>
      <c r="S36" s="16">
        <v>0.45</v>
      </c>
      <c r="T36" s="135"/>
      <c r="U36" s="1"/>
      <c r="V36" s="1"/>
      <c r="W36" s="1"/>
      <c r="X36" s="1"/>
    </row>
    <row r="37" spans="1:24" ht="14.4">
      <c r="A37" s="154" t="s">
        <v>164</v>
      </c>
      <c r="B37" s="607" t="s">
        <v>141</v>
      </c>
      <c r="C37" s="25">
        <v>2.7E-2</v>
      </c>
      <c r="D37" s="114"/>
      <c r="E37" s="7" t="s">
        <v>688</v>
      </c>
      <c r="G37" s="7" t="s">
        <v>570</v>
      </c>
      <c r="H37" s="7" t="s">
        <v>689</v>
      </c>
      <c r="J37" s="11" t="s">
        <v>673</v>
      </c>
      <c r="K37" s="16">
        <v>0.15</v>
      </c>
      <c r="L37" s="637" t="s">
        <v>8</v>
      </c>
      <c r="M37" s="625" t="s">
        <v>1334</v>
      </c>
      <c r="N37" s="642" t="str">
        <f t="shared" si="0"/>
        <v>東京都武蔵野市</v>
      </c>
      <c r="O37" s="622">
        <v>11.05</v>
      </c>
      <c r="P37" s="625">
        <v>10.83</v>
      </c>
      <c r="Q37" s="658">
        <v>10.68</v>
      </c>
      <c r="R37" s="634" t="s">
        <v>690</v>
      </c>
      <c r="S37" s="16">
        <v>0.45</v>
      </c>
      <c r="T37" s="135"/>
      <c r="U37" s="1"/>
      <c r="V37" s="1"/>
      <c r="W37" s="1"/>
      <c r="X37" s="1"/>
    </row>
    <row r="38" spans="1:24" ht="14.4">
      <c r="A38" s="154" t="s">
        <v>165</v>
      </c>
      <c r="B38" s="607" t="s">
        <v>691</v>
      </c>
      <c r="C38" s="25">
        <v>2.7E-2</v>
      </c>
      <c r="D38" s="114"/>
      <c r="E38" s="7" t="s">
        <v>692</v>
      </c>
      <c r="G38" s="7" t="s">
        <v>570</v>
      </c>
      <c r="H38" s="7" t="s">
        <v>693</v>
      </c>
      <c r="J38" s="11" t="s">
        <v>673</v>
      </c>
      <c r="K38" s="16">
        <v>0.15</v>
      </c>
      <c r="L38" s="637" t="s">
        <v>8</v>
      </c>
      <c r="M38" s="625" t="s">
        <v>1335</v>
      </c>
      <c r="N38" s="642" t="str">
        <f t="shared" si="0"/>
        <v>東京都三鷹市</v>
      </c>
      <c r="O38" s="622">
        <v>11.05</v>
      </c>
      <c r="P38" s="625">
        <v>10.83</v>
      </c>
      <c r="Q38" s="658">
        <v>10.68</v>
      </c>
      <c r="R38" s="634" t="s">
        <v>694</v>
      </c>
      <c r="S38" s="16">
        <v>0.45</v>
      </c>
      <c r="T38" s="135"/>
      <c r="U38" s="1"/>
      <c r="V38" s="1"/>
      <c r="W38" s="1"/>
      <c r="X38" s="1"/>
    </row>
    <row r="39" spans="1:24" ht="14.4">
      <c r="A39" s="154" t="s">
        <v>166</v>
      </c>
      <c r="B39" s="607" t="s">
        <v>145</v>
      </c>
      <c r="C39" s="25">
        <v>2.7E-2</v>
      </c>
      <c r="D39" s="114"/>
      <c r="E39" s="7" t="s">
        <v>695</v>
      </c>
      <c r="G39" s="7" t="s">
        <v>570</v>
      </c>
      <c r="H39" s="7" t="s">
        <v>696</v>
      </c>
      <c r="J39" s="11" t="s">
        <v>673</v>
      </c>
      <c r="K39" s="16">
        <v>0.15</v>
      </c>
      <c r="L39" s="637" t="s">
        <v>8</v>
      </c>
      <c r="M39" s="625" t="s">
        <v>1336</v>
      </c>
      <c r="N39" s="642" t="str">
        <f t="shared" si="0"/>
        <v>東京都青梅市</v>
      </c>
      <c r="O39" s="622">
        <v>11.05</v>
      </c>
      <c r="P39" s="625">
        <v>10.83</v>
      </c>
      <c r="Q39" s="658">
        <v>10.68</v>
      </c>
      <c r="R39" s="635" t="s">
        <v>697</v>
      </c>
      <c r="S39" s="18">
        <v>0.45</v>
      </c>
      <c r="T39" s="135"/>
      <c r="U39" s="1"/>
      <c r="V39" s="1"/>
      <c r="W39" s="1"/>
      <c r="X39" s="1"/>
    </row>
    <row r="40" spans="1:24" ht="15" thickBot="1">
      <c r="A40" s="154" t="s">
        <v>167</v>
      </c>
      <c r="B40" s="607" t="s">
        <v>148</v>
      </c>
      <c r="C40" s="25">
        <v>2.7E-2</v>
      </c>
      <c r="D40" s="114"/>
      <c r="E40" s="7" t="s">
        <v>698</v>
      </c>
      <c r="G40" s="7" t="s">
        <v>570</v>
      </c>
      <c r="H40" s="7" t="s">
        <v>699</v>
      </c>
      <c r="J40" s="11" t="s">
        <v>673</v>
      </c>
      <c r="K40" s="16">
        <v>0.15</v>
      </c>
      <c r="L40" s="637" t="s">
        <v>8</v>
      </c>
      <c r="M40" s="625" t="s">
        <v>2526</v>
      </c>
      <c r="N40" s="642" t="str">
        <f t="shared" si="0"/>
        <v>東京都府中市</v>
      </c>
      <c r="O40" s="622">
        <v>11.05</v>
      </c>
      <c r="P40" s="625">
        <v>10.83</v>
      </c>
      <c r="Q40" s="658">
        <v>10.68</v>
      </c>
      <c r="R40" s="635" t="s">
        <v>700</v>
      </c>
      <c r="S40" s="18">
        <v>0.45</v>
      </c>
      <c r="T40" s="135"/>
      <c r="U40" s="1"/>
      <c r="V40" s="1"/>
      <c r="W40" s="1"/>
      <c r="X40" s="1"/>
    </row>
    <row r="41" spans="1:24" ht="14.4">
      <c r="A41" s="154" t="s">
        <v>168</v>
      </c>
      <c r="B41" s="607" t="s">
        <v>701</v>
      </c>
      <c r="C41" s="24">
        <v>0.105</v>
      </c>
      <c r="D41" s="114"/>
      <c r="E41" s="7" t="s">
        <v>702</v>
      </c>
      <c r="G41" s="7" t="s">
        <v>570</v>
      </c>
      <c r="H41" s="7" t="s">
        <v>703</v>
      </c>
      <c r="J41" s="11" t="s">
        <v>673</v>
      </c>
      <c r="K41" s="16">
        <v>0.15</v>
      </c>
      <c r="L41" s="637" t="s">
        <v>8</v>
      </c>
      <c r="M41" s="625" t="s">
        <v>1341</v>
      </c>
      <c r="N41" s="642" t="str">
        <f t="shared" si="0"/>
        <v>東京都小金井市</v>
      </c>
      <c r="O41" s="622">
        <v>11.05</v>
      </c>
      <c r="P41" s="625">
        <v>10.83</v>
      </c>
      <c r="Q41" s="658">
        <v>10.68</v>
      </c>
      <c r="R41" s="636" t="s">
        <v>168</v>
      </c>
      <c r="S41" s="630">
        <v>0.7</v>
      </c>
      <c r="T41" s="135"/>
      <c r="U41" s="1"/>
      <c r="V41" s="1"/>
      <c r="W41" s="1"/>
      <c r="X41" s="1"/>
    </row>
    <row r="42" spans="1:24" ht="14.4">
      <c r="A42" s="154" t="s">
        <v>169</v>
      </c>
      <c r="B42" s="607" t="s">
        <v>152</v>
      </c>
      <c r="C42" s="24">
        <v>0.105</v>
      </c>
      <c r="D42" s="114"/>
      <c r="E42" s="7" t="s">
        <v>704</v>
      </c>
      <c r="G42" s="7" t="s">
        <v>570</v>
      </c>
      <c r="H42" s="7" t="s">
        <v>705</v>
      </c>
      <c r="J42" s="11" t="s">
        <v>673</v>
      </c>
      <c r="K42" s="16">
        <v>0.15</v>
      </c>
      <c r="L42" s="637" t="s">
        <v>8</v>
      </c>
      <c r="M42" s="625" t="s">
        <v>1342</v>
      </c>
      <c r="N42" s="642" t="str">
        <f t="shared" si="0"/>
        <v>東京都小平市</v>
      </c>
      <c r="O42" s="622">
        <v>11.05</v>
      </c>
      <c r="P42" s="625">
        <v>10.83</v>
      </c>
      <c r="Q42" s="658">
        <v>10.68</v>
      </c>
      <c r="R42" s="637" t="s">
        <v>169</v>
      </c>
      <c r="S42" s="629">
        <v>0.7</v>
      </c>
      <c r="T42" s="135"/>
      <c r="U42" s="1"/>
      <c r="V42" s="1"/>
      <c r="W42" s="1"/>
      <c r="X42" s="1"/>
    </row>
    <row r="43" spans="1:24" ht="14.4">
      <c r="A43" s="154" t="s">
        <v>170</v>
      </c>
      <c r="B43" s="607" t="s">
        <v>154</v>
      </c>
      <c r="C43" s="24">
        <v>0.105</v>
      </c>
      <c r="D43" s="114"/>
      <c r="E43" s="7" t="s">
        <v>706</v>
      </c>
      <c r="G43" s="7" t="s">
        <v>570</v>
      </c>
      <c r="H43" s="7" t="s">
        <v>707</v>
      </c>
      <c r="J43" s="11" t="s">
        <v>673</v>
      </c>
      <c r="K43" s="16">
        <v>0.15</v>
      </c>
      <c r="L43" s="637" t="s">
        <v>8</v>
      </c>
      <c r="M43" s="625" t="s">
        <v>1343</v>
      </c>
      <c r="N43" s="642" t="str">
        <f t="shared" si="0"/>
        <v>東京都日野市</v>
      </c>
      <c r="O43" s="622">
        <v>11.05</v>
      </c>
      <c r="P43" s="625">
        <v>10.83</v>
      </c>
      <c r="Q43" s="658">
        <v>10.68</v>
      </c>
      <c r="R43" s="637" t="s">
        <v>170</v>
      </c>
      <c r="S43" s="629">
        <v>0.7</v>
      </c>
      <c r="T43" s="135"/>
      <c r="U43" s="1"/>
      <c r="V43" s="1"/>
      <c r="W43" s="1"/>
      <c r="X43" s="1"/>
    </row>
    <row r="44" spans="1:24" ht="14.4">
      <c r="A44" s="154" t="s">
        <v>171</v>
      </c>
      <c r="B44" s="607" t="s">
        <v>708</v>
      </c>
      <c r="C44" s="25">
        <v>6.4000000000000001E-2</v>
      </c>
      <c r="D44" s="114"/>
      <c r="E44" s="7" t="s">
        <v>709</v>
      </c>
      <c r="G44" s="7" t="s">
        <v>570</v>
      </c>
      <c r="H44" s="7" t="s">
        <v>710</v>
      </c>
      <c r="J44" s="11" t="s">
        <v>673</v>
      </c>
      <c r="K44" s="16">
        <v>0.15</v>
      </c>
      <c r="L44" s="637" t="s">
        <v>8</v>
      </c>
      <c r="M44" s="625" t="s">
        <v>2427</v>
      </c>
      <c r="N44" s="642" t="str">
        <f t="shared" si="0"/>
        <v>東京都東村山市</v>
      </c>
      <c r="O44" s="622">
        <v>11.05</v>
      </c>
      <c r="P44" s="625">
        <v>10.83</v>
      </c>
      <c r="Q44" s="658">
        <v>10.68</v>
      </c>
      <c r="R44" s="637" t="s">
        <v>171</v>
      </c>
      <c r="S44" s="18">
        <v>0.45</v>
      </c>
      <c r="T44" s="135"/>
      <c r="U44" s="1"/>
      <c r="V44" s="1"/>
      <c r="W44" s="1"/>
      <c r="X44" s="1"/>
    </row>
    <row r="45" spans="1:24" ht="14.4">
      <c r="A45" s="154" t="s">
        <v>172</v>
      </c>
      <c r="B45" s="607" t="s">
        <v>158</v>
      </c>
      <c r="C45" s="25">
        <v>6.4000000000000001E-2</v>
      </c>
      <c r="D45" s="114"/>
      <c r="E45" s="7" t="s">
        <v>711</v>
      </c>
      <c r="G45" s="7" t="s">
        <v>570</v>
      </c>
      <c r="H45" s="7" t="s">
        <v>712</v>
      </c>
      <c r="J45" s="11" t="s">
        <v>673</v>
      </c>
      <c r="K45" s="16">
        <v>0.15</v>
      </c>
      <c r="L45" s="637" t="s">
        <v>8</v>
      </c>
      <c r="M45" s="625" t="s">
        <v>1345</v>
      </c>
      <c r="N45" s="642" t="str">
        <f t="shared" si="0"/>
        <v>東京都国分寺市</v>
      </c>
      <c r="O45" s="622">
        <v>11.05</v>
      </c>
      <c r="P45" s="625">
        <v>10.83</v>
      </c>
      <c r="Q45" s="658">
        <v>10.68</v>
      </c>
      <c r="R45" s="637" t="s">
        <v>172</v>
      </c>
      <c r="S45" s="18">
        <v>0.45</v>
      </c>
      <c r="T45" s="135"/>
      <c r="U45" s="1"/>
      <c r="V45" s="1"/>
      <c r="W45" s="1"/>
      <c r="X45" s="1"/>
    </row>
    <row r="46" spans="1:24" ht="15" thickBot="1">
      <c r="A46" s="156" t="s">
        <v>173</v>
      </c>
      <c r="B46" s="608" t="s">
        <v>161</v>
      </c>
      <c r="C46" s="116">
        <v>6.4000000000000001E-2</v>
      </c>
      <c r="D46" s="114"/>
      <c r="E46" s="7" t="s">
        <v>713</v>
      </c>
      <c r="G46" s="7" t="s">
        <v>570</v>
      </c>
      <c r="H46" s="7" t="s">
        <v>714</v>
      </c>
      <c r="J46" s="11" t="s">
        <v>673</v>
      </c>
      <c r="K46" s="16">
        <v>0.15</v>
      </c>
      <c r="L46" s="637" t="s">
        <v>8</v>
      </c>
      <c r="M46" s="625" t="s">
        <v>1346</v>
      </c>
      <c r="N46" s="642" t="str">
        <f t="shared" si="0"/>
        <v>東京都国立市</v>
      </c>
      <c r="O46" s="622">
        <v>11.05</v>
      </c>
      <c r="P46" s="625">
        <v>10.83</v>
      </c>
      <c r="Q46" s="658">
        <v>10.68</v>
      </c>
      <c r="R46" s="638" t="s">
        <v>173</v>
      </c>
      <c r="S46" s="631">
        <v>0.45</v>
      </c>
      <c r="T46" s="135"/>
      <c r="U46" s="1"/>
      <c r="V46" s="1"/>
      <c r="W46" s="1"/>
      <c r="X46" s="1"/>
    </row>
    <row r="47" spans="1:24">
      <c r="E47" s="7" t="s">
        <v>715</v>
      </c>
      <c r="G47" s="7" t="s">
        <v>570</v>
      </c>
      <c r="H47" s="7" t="s">
        <v>716</v>
      </c>
      <c r="J47" s="11" t="s">
        <v>673</v>
      </c>
      <c r="K47" s="16">
        <v>0.15</v>
      </c>
      <c r="L47" s="637" t="s">
        <v>8</v>
      </c>
      <c r="M47" s="625" t="s">
        <v>2428</v>
      </c>
      <c r="N47" s="642" t="str">
        <f t="shared" si="0"/>
        <v>東京都清瀬市</v>
      </c>
      <c r="O47" s="622">
        <v>11.05</v>
      </c>
      <c r="P47" s="625">
        <v>10.83</v>
      </c>
      <c r="Q47" s="658">
        <v>10.68</v>
      </c>
      <c r="T47" s="1"/>
      <c r="U47" s="1"/>
      <c r="V47" s="1"/>
      <c r="W47" s="1"/>
      <c r="X47" s="1"/>
    </row>
    <row r="48" spans="1:24">
      <c r="E48" s="7" t="s">
        <v>717</v>
      </c>
      <c r="G48" s="7" t="s">
        <v>570</v>
      </c>
      <c r="H48" s="7" t="s">
        <v>718</v>
      </c>
      <c r="J48" s="11" t="s">
        <v>673</v>
      </c>
      <c r="K48" s="16">
        <v>0.15</v>
      </c>
      <c r="L48" s="637" t="s">
        <v>8</v>
      </c>
      <c r="M48" s="625" t="s">
        <v>1351</v>
      </c>
      <c r="N48" s="642" t="str">
        <f t="shared" si="0"/>
        <v>東京都東久留米市</v>
      </c>
      <c r="O48" s="622">
        <v>11.05</v>
      </c>
      <c r="P48" s="625">
        <v>10.83</v>
      </c>
      <c r="Q48" s="658">
        <v>10.68</v>
      </c>
      <c r="T48" s="1"/>
      <c r="U48" s="1"/>
      <c r="V48" s="1"/>
      <c r="W48" s="1"/>
      <c r="X48" s="1"/>
    </row>
    <row r="49" spans="5:24" ht="13.8" thickBot="1">
      <c r="E49" s="8" t="s">
        <v>719</v>
      </c>
      <c r="G49" s="7" t="s">
        <v>570</v>
      </c>
      <c r="H49" s="7" t="s">
        <v>720</v>
      </c>
      <c r="J49" s="11" t="s">
        <v>673</v>
      </c>
      <c r="K49" s="16">
        <v>0.15</v>
      </c>
      <c r="L49" s="637" t="s">
        <v>8</v>
      </c>
      <c r="M49" s="625" t="s">
        <v>1354</v>
      </c>
      <c r="N49" s="642" t="str">
        <f t="shared" si="0"/>
        <v>東京都稲城市</v>
      </c>
      <c r="O49" s="622">
        <v>11.05</v>
      </c>
      <c r="P49" s="625">
        <v>10.83</v>
      </c>
      <c r="Q49" s="658">
        <v>10.68</v>
      </c>
      <c r="T49" s="1"/>
      <c r="U49" s="1"/>
      <c r="V49" s="1"/>
      <c r="W49" s="1"/>
      <c r="X49" s="1"/>
    </row>
    <row r="50" spans="5:24">
      <c r="E50" s="2"/>
      <c r="G50" s="7" t="s">
        <v>570</v>
      </c>
      <c r="H50" s="7" t="s">
        <v>721</v>
      </c>
      <c r="J50" s="11" t="s">
        <v>673</v>
      </c>
      <c r="K50" s="16">
        <v>0.15</v>
      </c>
      <c r="L50" s="637" t="s">
        <v>8</v>
      </c>
      <c r="M50" s="625" t="s">
        <v>1357</v>
      </c>
      <c r="N50" s="642" t="str">
        <f t="shared" si="0"/>
        <v>東京都西東京市</v>
      </c>
      <c r="O50" s="622">
        <v>11.05</v>
      </c>
      <c r="P50" s="625">
        <v>10.83</v>
      </c>
      <c r="Q50" s="658">
        <v>10.68</v>
      </c>
      <c r="T50" s="1"/>
      <c r="U50" s="1"/>
      <c r="V50" s="1"/>
      <c r="W50" s="1"/>
      <c r="X50" s="1"/>
    </row>
    <row r="51" spans="5:24">
      <c r="E51" s="2"/>
      <c r="G51" s="7" t="s">
        <v>570</v>
      </c>
      <c r="H51" s="7" t="s">
        <v>722</v>
      </c>
      <c r="J51" s="11" t="s">
        <v>673</v>
      </c>
      <c r="K51" s="16">
        <v>0.15</v>
      </c>
      <c r="L51" s="637" t="s">
        <v>2519</v>
      </c>
      <c r="M51" s="625" t="s">
        <v>1376</v>
      </c>
      <c r="N51" s="642" t="str">
        <f t="shared" si="0"/>
        <v>神奈川県鎌倉市</v>
      </c>
      <c r="O51" s="622">
        <v>11.05</v>
      </c>
      <c r="P51" s="625">
        <v>10.83</v>
      </c>
      <c r="Q51" s="658">
        <v>10.68</v>
      </c>
      <c r="T51" s="1"/>
      <c r="U51" s="1"/>
      <c r="V51" s="1"/>
      <c r="W51" s="1"/>
      <c r="X51" s="1"/>
    </row>
    <row r="52" spans="5:24">
      <c r="E52" s="2"/>
      <c r="G52" s="7" t="s">
        <v>570</v>
      </c>
      <c r="H52" s="7" t="s">
        <v>723</v>
      </c>
      <c r="J52" s="11" t="s">
        <v>673</v>
      </c>
      <c r="K52" s="16">
        <v>0.15</v>
      </c>
      <c r="L52" s="637" t="s">
        <v>2519</v>
      </c>
      <c r="M52" s="625" t="s">
        <v>1383</v>
      </c>
      <c r="N52" s="642" t="str">
        <f t="shared" si="0"/>
        <v>神奈川県厚木市</v>
      </c>
      <c r="O52" s="622">
        <v>11.05</v>
      </c>
      <c r="P52" s="625">
        <v>10.83</v>
      </c>
      <c r="Q52" s="658">
        <v>10.68</v>
      </c>
      <c r="T52" s="1"/>
      <c r="U52" s="1"/>
      <c r="V52" s="1"/>
      <c r="W52" s="1"/>
      <c r="X52" s="1"/>
    </row>
    <row r="53" spans="5:24">
      <c r="E53" s="2"/>
      <c r="G53" s="7" t="s">
        <v>570</v>
      </c>
      <c r="H53" s="7" t="s">
        <v>724</v>
      </c>
      <c r="J53" s="11" t="s">
        <v>673</v>
      </c>
      <c r="K53" s="16">
        <v>0.15</v>
      </c>
      <c r="L53" s="637" t="s">
        <v>2523</v>
      </c>
      <c r="M53" s="625" t="s">
        <v>1657</v>
      </c>
      <c r="N53" s="642" t="str">
        <f t="shared" si="0"/>
        <v>愛知県名古屋市</v>
      </c>
      <c r="O53" s="622">
        <v>11.05</v>
      </c>
      <c r="P53" s="625">
        <v>10.83</v>
      </c>
      <c r="Q53" s="658">
        <v>10.68</v>
      </c>
      <c r="T53" s="1"/>
      <c r="U53" s="1"/>
      <c r="V53" s="1"/>
      <c r="W53" s="1"/>
      <c r="X53" s="1"/>
    </row>
    <row r="54" spans="5:24">
      <c r="E54" s="2"/>
      <c r="G54" s="7" t="s">
        <v>570</v>
      </c>
      <c r="H54" s="7" t="s">
        <v>725</v>
      </c>
      <c r="J54" s="11" t="s">
        <v>673</v>
      </c>
      <c r="K54" s="16">
        <v>0.15</v>
      </c>
      <c r="L54" s="637" t="s">
        <v>2523</v>
      </c>
      <c r="M54" s="625" t="s">
        <v>1667</v>
      </c>
      <c r="N54" s="642" t="str">
        <f t="shared" si="0"/>
        <v>愛知県刈谷市</v>
      </c>
      <c r="O54" s="622">
        <v>11.05</v>
      </c>
      <c r="P54" s="625">
        <v>10.83</v>
      </c>
      <c r="Q54" s="658">
        <v>10.68</v>
      </c>
      <c r="T54" s="1"/>
      <c r="U54" s="1"/>
      <c r="V54" s="1"/>
      <c r="W54" s="1"/>
      <c r="X54" s="1"/>
    </row>
    <row r="55" spans="5:24">
      <c r="E55" s="2"/>
      <c r="G55" s="7" t="s">
        <v>570</v>
      </c>
      <c r="H55" s="7" t="s">
        <v>726</v>
      </c>
      <c r="J55" s="11" t="s">
        <v>673</v>
      </c>
      <c r="K55" s="16">
        <v>0.15</v>
      </c>
      <c r="L55" s="637" t="s">
        <v>2523</v>
      </c>
      <c r="M55" s="625" t="s">
        <v>1668</v>
      </c>
      <c r="N55" s="642" t="str">
        <f t="shared" si="0"/>
        <v>愛知県豊田市</v>
      </c>
      <c r="O55" s="622">
        <v>11.05</v>
      </c>
      <c r="P55" s="625">
        <v>10.83</v>
      </c>
      <c r="Q55" s="658">
        <v>10.68</v>
      </c>
      <c r="T55" s="1"/>
      <c r="U55" s="1"/>
      <c r="V55" s="1"/>
      <c r="W55" s="1"/>
      <c r="X55" s="1"/>
    </row>
    <row r="56" spans="5:24">
      <c r="E56" s="2"/>
      <c r="G56" s="7" t="s">
        <v>570</v>
      </c>
      <c r="H56" s="7" t="s">
        <v>727</v>
      </c>
      <c r="J56" s="11" t="s">
        <v>673</v>
      </c>
      <c r="K56" s="16">
        <v>0.15</v>
      </c>
      <c r="L56" s="637" t="s">
        <v>2520</v>
      </c>
      <c r="M56" s="625" t="s">
        <v>1791</v>
      </c>
      <c r="N56" s="642" t="str">
        <f t="shared" si="0"/>
        <v>大阪府守口市</v>
      </c>
      <c r="O56" s="622">
        <v>11.05</v>
      </c>
      <c r="P56" s="625">
        <v>10.83</v>
      </c>
      <c r="Q56" s="658">
        <v>10.68</v>
      </c>
      <c r="T56" s="1"/>
      <c r="U56" s="1"/>
      <c r="V56" s="1"/>
      <c r="W56" s="1"/>
      <c r="X56" s="1"/>
    </row>
    <row r="57" spans="5:24">
      <c r="E57" s="2"/>
      <c r="G57" s="7" t="s">
        <v>570</v>
      </c>
      <c r="H57" s="7" t="s">
        <v>728</v>
      </c>
      <c r="J57" s="11" t="s">
        <v>673</v>
      </c>
      <c r="K57" s="16">
        <v>0.15</v>
      </c>
      <c r="L57" s="637" t="s">
        <v>2520</v>
      </c>
      <c r="M57" s="625" t="s">
        <v>1800</v>
      </c>
      <c r="N57" s="642" t="str">
        <f t="shared" si="0"/>
        <v>大阪府大東市</v>
      </c>
      <c r="O57" s="622">
        <v>11.05</v>
      </c>
      <c r="P57" s="625">
        <v>10.83</v>
      </c>
      <c r="Q57" s="658">
        <v>10.68</v>
      </c>
      <c r="T57" s="1"/>
      <c r="U57" s="1"/>
      <c r="V57" s="1"/>
      <c r="W57" s="1"/>
      <c r="X57" s="1"/>
    </row>
    <row r="58" spans="5:24">
      <c r="E58" s="2"/>
      <c r="G58" s="7" t="s">
        <v>570</v>
      </c>
      <c r="H58" s="7" t="s">
        <v>729</v>
      </c>
      <c r="J58" s="11" t="s">
        <v>673</v>
      </c>
      <c r="K58" s="16">
        <v>0.15</v>
      </c>
      <c r="L58" s="637" t="s">
        <v>2520</v>
      </c>
      <c r="M58" s="625" t="s">
        <v>1805</v>
      </c>
      <c r="N58" s="642" t="str">
        <f t="shared" si="0"/>
        <v>大阪府門真市</v>
      </c>
      <c r="O58" s="622">
        <v>11.05</v>
      </c>
      <c r="P58" s="625">
        <v>10.83</v>
      </c>
      <c r="Q58" s="658">
        <v>10.68</v>
      </c>
      <c r="T58" s="1"/>
      <c r="U58" s="1"/>
      <c r="V58" s="1"/>
      <c r="W58" s="1"/>
      <c r="X58" s="1"/>
    </row>
    <row r="59" spans="5:24">
      <c r="E59" s="2"/>
      <c r="G59" s="7" t="s">
        <v>570</v>
      </c>
      <c r="H59" s="7" t="s">
        <v>730</v>
      </c>
      <c r="J59" s="11" t="s">
        <v>673</v>
      </c>
      <c r="K59" s="16">
        <v>0.15</v>
      </c>
      <c r="L59" s="637" t="s">
        <v>2524</v>
      </c>
      <c r="M59" s="625" t="s">
        <v>1829</v>
      </c>
      <c r="N59" s="642" t="str">
        <f t="shared" si="0"/>
        <v>兵庫県西宮市</v>
      </c>
      <c r="O59" s="622">
        <v>11.05</v>
      </c>
      <c r="P59" s="625">
        <v>10.83</v>
      </c>
      <c r="Q59" s="658">
        <v>10.68</v>
      </c>
      <c r="T59" s="1"/>
      <c r="U59" s="1"/>
      <c r="V59" s="1"/>
      <c r="W59" s="1"/>
      <c r="X59" s="1"/>
    </row>
    <row r="60" spans="5:24">
      <c r="E60" s="2"/>
      <c r="G60" s="7" t="s">
        <v>570</v>
      </c>
      <c r="H60" s="7" t="s">
        <v>732</v>
      </c>
      <c r="J60" s="11" t="s">
        <v>673</v>
      </c>
      <c r="K60" s="16">
        <v>0.15</v>
      </c>
      <c r="L60" s="637" t="s">
        <v>2524</v>
      </c>
      <c r="M60" s="625" t="s">
        <v>1831</v>
      </c>
      <c r="N60" s="642" t="str">
        <f t="shared" si="0"/>
        <v>兵庫県芦屋市</v>
      </c>
      <c r="O60" s="622">
        <v>11.05</v>
      </c>
      <c r="P60" s="625">
        <v>10.83</v>
      </c>
      <c r="Q60" s="658">
        <v>10.68</v>
      </c>
      <c r="T60" s="1"/>
      <c r="U60" s="1"/>
      <c r="V60" s="1"/>
      <c r="W60" s="1"/>
      <c r="X60" s="1"/>
    </row>
    <row r="61" spans="5:24" ht="13.8" thickBot="1">
      <c r="E61" s="2"/>
      <c r="G61" s="7" t="s">
        <v>570</v>
      </c>
      <c r="H61" s="7" t="s">
        <v>733</v>
      </c>
      <c r="J61" s="12" t="s">
        <v>673</v>
      </c>
      <c r="K61" s="631">
        <v>0.15</v>
      </c>
      <c r="L61" s="638" t="s">
        <v>2524</v>
      </c>
      <c r="M61" s="628" t="s">
        <v>1838</v>
      </c>
      <c r="N61" s="667" t="str">
        <f t="shared" si="0"/>
        <v>兵庫県宝塚市</v>
      </c>
      <c r="O61" s="627">
        <v>11.05</v>
      </c>
      <c r="P61" s="628">
        <v>10.83</v>
      </c>
      <c r="Q61" s="660">
        <v>10.68</v>
      </c>
      <c r="T61" s="1"/>
      <c r="U61" s="1"/>
      <c r="V61" s="1"/>
      <c r="W61" s="1"/>
      <c r="X61" s="1"/>
    </row>
    <row r="62" spans="5:24">
      <c r="E62" s="2"/>
      <c r="G62" s="7" t="s">
        <v>570</v>
      </c>
      <c r="H62" s="7" t="s">
        <v>734</v>
      </c>
      <c r="J62" s="13" t="s">
        <v>731</v>
      </c>
      <c r="K62" s="136">
        <v>0.12</v>
      </c>
      <c r="L62" s="655" t="s">
        <v>603</v>
      </c>
      <c r="M62" s="656" t="s">
        <v>1103</v>
      </c>
      <c r="N62" s="657" t="str">
        <f t="shared" si="0"/>
        <v>茨城県牛久市</v>
      </c>
      <c r="O62" s="672">
        <v>10.84</v>
      </c>
      <c r="P62" s="656">
        <v>10.66</v>
      </c>
      <c r="Q62" s="657">
        <v>10.54</v>
      </c>
      <c r="T62" s="1"/>
      <c r="U62" s="1"/>
      <c r="V62" s="1"/>
      <c r="W62" s="1"/>
      <c r="X62" s="1"/>
    </row>
    <row r="63" spans="5:24">
      <c r="E63" s="2"/>
      <c r="G63" s="7" t="s">
        <v>570</v>
      </c>
      <c r="H63" s="7" t="s">
        <v>735</v>
      </c>
      <c r="J63" s="11" t="s">
        <v>731</v>
      </c>
      <c r="K63" s="16">
        <v>0.12</v>
      </c>
      <c r="L63" s="647" t="s">
        <v>611</v>
      </c>
      <c r="M63" s="625" t="s">
        <v>1215</v>
      </c>
      <c r="N63" s="658" t="str">
        <f t="shared" si="0"/>
        <v>埼玉県朝霞市</v>
      </c>
      <c r="O63" s="622">
        <v>10.84</v>
      </c>
      <c r="P63" s="625">
        <v>10.66</v>
      </c>
      <c r="Q63" s="658">
        <v>10.54</v>
      </c>
      <c r="T63" s="1"/>
      <c r="U63" s="1"/>
      <c r="V63" s="1"/>
      <c r="W63" s="1"/>
      <c r="X63" s="1"/>
    </row>
    <row r="64" spans="5:24">
      <c r="E64" s="2"/>
      <c r="G64" s="7" t="s">
        <v>570</v>
      </c>
      <c r="H64" s="7" t="s">
        <v>736</v>
      </c>
      <c r="J64" s="11" t="s">
        <v>731</v>
      </c>
      <c r="K64" s="16">
        <v>0.12</v>
      </c>
      <c r="L64" s="647" t="s">
        <v>611</v>
      </c>
      <c r="M64" s="625" t="s">
        <v>2429</v>
      </c>
      <c r="N64" s="658" t="str">
        <f t="shared" si="0"/>
        <v>埼玉県志木市</v>
      </c>
      <c r="O64" s="622">
        <v>10.84</v>
      </c>
      <c r="P64" s="625">
        <v>10.66</v>
      </c>
      <c r="Q64" s="658">
        <v>10.54</v>
      </c>
      <c r="T64" s="1"/>
      <c r="U64" s="1"/>
      <c r="V64" s="1"/>
      <c r="W64" s="1"/>
      <c r="X64" s="1"/>
    </row>
    <row r="65" spans="5:24">
      <c r="E65" s="2"/>
      <c r="G65" s="7" t="s">
        <v>570</v>
      </c>
      <c r="H65" s="7" t="s">
        <v>737</v>
      </c>
      <c r="J65" s="11" t="s">
        <v>731</v>
      </c>
      <c r="K65" s="16">
        <v>0.12</v>
      </c>
      <c r="L65" s="647" t="s">
        <v>611</v>
      </c>
      <c r="M65" s="625" t="s">
        <v>2430</v>
      </c>
      <c r="N65" s="658" t="str">
        <f t="shared" si="0"/>
        <v>埼玉県和光市</v>
      </c>
      <c r="O65" s="622">
        <v>10.84</v>
      </c>
      <c r="P65" s="625">
        <v>10.66</v>
      </c>
      <c r="Q65" s="658">
        <v>10.54</v>
      </c>
      <c r="T65" s="1"/>
      <c r="U65" s="1"/>
      <c r="V65" s="1"/>
      <c r="W65" s="1"/>
      <c r="X65" s="1"/>
    </row>
    <row r="66" spans="5:24">
      <c r="E66" s="2"/>
      <c r="G66" s="7" t="s">
        <v>570</v>
      </c>
      <c r="H66" s="7" t="s">
        <v>738</v>
      </c>
      <c r="J66" s="11" t="s">
        <v>731</v>
      </c>
      <c r="K66" s="16">
        <v>0.12</v>
      </c>
      <c r="L66" s="647" t="s">
        <v>614</v>
      </c>
      <c r="M66" s="625" t="s">
        <v>1258</v>
      </c>
      <c r="N66" s="658" t="str">
        <f t="shared" si="0"/>
        <v>千葉県船橋市</v>
      </c>
      <c r="O66" s="622">
        <v>10.84</v>
      </c>
      <c r="P66" s="625">
        <v>10.66</v>
      </c>
      <c r="Q66" s="658">
        <v>10.54</v>
      </c>
      <c r="T66" s="1"/>
      <c r="U66" s="1"/>
      <c r="V66" s="1"/>
      <c r="W66" s="1"/>
      <c r="X66" s="1"/>
    </row>
    <row r="67" spans="5:24">
      <c r="E67" s="2"/>
      <c r="G67" s="7" t="s">
        <v>570</v>
      </c>
      <c r="H67" s="7" t="s">
        <v>739</v>
      </c>
      <c r="J67" s="11" t="s">
        <v>731</v>
      </c>
      <c r="K67" s="16">
        <v>0.12</v>
      </c>
      <c r="L67" s="647" t="s">
        <v>614</v>
      </c>
      <c r="M67" s="625" t="s">
        <v>1264</v>
      </c>
      <c r="N67" s="658" t="str">
        <f t="shared" si="0"/>
        <v>千葉県成田市</v>
      </c>
      <c r="O67" s="622">
        <v>10.84</v>
      </c>
      <c r="P67" s="625">
        <v>10.66</v>
      </c>
      <c r="Q67" s="658">
        <v>10.54</v>
      </c>
      <c r="T67" s="1"/>
      <c r="U67" s="1"/>
      <c r="V67" s="1"/>
      <c r="W67" s="1"/>
      <c r="X67" s="1"/>
    </row>
    <row r="68" spans="5:24">
      <c r="E68" s="2"/>
      <c r="G68" s="7" t="s">
        <v>570</v>
      </c>
      <c r="H68" s="7" t="s">
        <v>740</v>
      </c>
      <c r="J68" s="11" t="s">
        <v>731</v>
      </c>
      <c r="K68" s="16">
        <v>0.12</v>
      </c>
      <c r="L68" s="647" t="s">
        <v>614</v>
      </c>
      <c r="M68" s="625" t="s">
        <v>1268</v>
      </c>
      <c r="N68" s="658" t="str">
        <f t="shared" ref="N68:N131" si="1">L68&amp;M68</f>
        <v>千葉県習志野市</v>
      </c>
      <c r="O68" s="622">
        <v>10.84</v>
      </c>
      <c r="P68" s="625">
        <v>10.66</v>
      </c>
      <c r="Q68" s="658">
        <v>10.54</v>
      </c>
      <c r="T68" s="1"/>
      <c r="U68" s="1"/>
      <c r="V68" s="1"/>
      <c r="W68" s="1"/>
      <c r="X68" s="1"/>
    </row>
    <row r="69" spans="5:24">
      <c r="E69" s="2"/>
      <c r="G69" s="7" t="s">
        <v>570</v>
      </c>
      <c r="H69" s="7" t="s">
        <v>741</v>
      </c>
      <c r="J69" s="11" t="s">
        <v>731</v>
      </c>
      <c r="K69" s="16">
        <v>0.12</v>
      </c>
      <c r="L69" s="647" t="s">
        <v>617</v>
      </c>
      <c r="M69" s="625" t="s">
        <v>1333</v>
      </c>
      <c r="N69" s="658" t="str">
        <f t="shared" si="1"/>
        <v>東京都立川市</v>
      </c>
      <c r="O69" s="622">
        <v>10.84</v>
      </c>
      <c r="P69" s="625">
        <v>10.66</v>
      </c>
      <c r="Q69" s="658">
        <v>10.54</v>
      </c>
      <c r="T69" s="1"/>
      <c r="U69" s="1"/>
      <c r="V69" s="1"/>
      <c r="W69" s="1"/>
      <c r="X69" s="1"/>
    </row>
    <row r="70" spans="5:24">
      <c r="E70" s="2"/>
      <c r="G70" s="7" t="s">
        <v>570</v>
      </c>
      <c r="H70" s="7" t="s">
        <v>742</v>
      </c>
      <c r="J70" s="11" t="s">
        <v>731</v>
      </c>
      <c r="K70" s="16">
        <v>0.12</v>
      </c>
      <c r="L70" s="647" t="s">
        <v>617</v>
      </c>
      <c r="M70" s="625" t="s">
        <v>1338</v>
      </c>
      <c r="N70" s="658" t="str">
        <f t="shared" si="1"/>
        <v>東京都昭島市</v>
      </c>
      <c r="O70" s="622">
        <v>10.84</v>
      </c>
      <c r="P70" s="625">
        <v>10.66</v>
      </c>
      <c r="Q70" s="658">
        <v>10.54</v>
      </c>
      <c r="T70" s="1"/>
      <c r="U70" s="1"/>
      <c r="V70" s="1"/>
      <c r="W70" s="1"/>
      <c r="X70" s="1"/>
    </row>
    <row r="71" spans="5:24">
      <c r="E71" s="2"/>
      <c r="G71" s="7" t="s">
        <v>570</v>
      </c>
      <c r="H71" s="7" t="s">
        <v>743</v>
      </c>
      <c r="J71" s="11" t="s">
        <v>731</v>
      </c>
      <c r="K71" s="16">
        <v>0.12</v>
      </c>
      <c r="L71" s="647" t="s">
        <v>617</v>
      </c>
      <c r="M71" s="625" t="s">
        <v>1349</v>
      </c>
      <c r="N71" s="658" t="str">
        <f t="shared" si="1"/>
        <v>東京都東大和市</v>
      </c>
      <c r="O71" s="622">
        <v>10.84</v>
      </c>
      <c r="P71" s="625">
        <v>10.66</v>
      </c>
      <c r="Q71" s="658">
        <v>10.54</v>
      </c>
      <c r="T71" s="1"/>
      <c r="U71" s="1"/>
      <c r="V71" s="1"/>
      <c r="W71" s="1"/>
      <c r="X71" s="1"/>
    </row>
    <row r="72" spans="5:24">
      <c r="E72" s="2"/>
      <c r="G72" s="7" t="s">
        <v>570</v>
      </c>
      <c r="H72" s="7" t="s">
        <v>744</v>
      </c>
      <c r="J72" s="11" t="s">
        <v>731</v>
      </c>
      <c r="K72" s="16">
        <v>0.12</v>
      </c>
      <c r="L72" s="647" t="s">
        <v>620</v>
      </c>
      <c r="M72" s="625" t="s">
        <v>1373</v>
      </c>
      <c r="N72" s="658" t="str">
        <f t="shared" si="1"/>
        <v>神奈川県相模原市</v>
      </c>
      <c r="O72" s="622">
        <v>10.84</v>
      </c>
      <c r="P72" s="625">
        <v>10.66</v>
      </c>
      <c r="Q72" s="658">
        <v>10.54</v>
      </c>
      <c r="T72" s="1"/>
      <c r="U72" s="1"/>
      <c r="V72" s="1"/>
      <c r="W72" s="1"/>
      <c r="X72" s="1"/>
    </row>
    <row r="73" spans="5:24">
      <c r="E73" s="2"/>
      <c r="G73" s="7" t="s">
        <v>570</v>
      </c>
      <c r="H73" s="7" t="s">
        <v>745</v>
      </c>
      <c r="J73" s="11" t="s">
        <v>731</v>
      </c>
      <c r="K73" s="16">
        <v>0.12</v>
      </c>
      <c r="L73" s="647" t="s">
        <v>620</v>
      </c>
      <c r="M73" s="625" t="s">
        <v>1374</v>
      </c>
      <c r="N73" s="658" t="str">
        <f t="shared" si="1"/>
        <v>神奈川県横須賀市</v>
      </c>
      <c r="O73" s="622">
        <v>10.84</v>
      </c>
      <c r="P73" s="625">
        <v>10.66</v>
      </c>
      <c r="Q73" s="658">
        <v>10.54</v>
      </c>
      <c r="T73" s="1"/>
      <c r="U73" s="1"/>
      <c r="V73" s="1"/>
      <c r="W73" s="1"/>
      <c r="X73" s="1"/>
    </row>
    <row r="74" spans="5:24">
      <c r="E74" s="2"/>
      <c r="G74" s="7" t="s">
        <v>570</v>
      </c>
      <c r="H74" s="7" t="s">
        <v>746</v>
      </c>
      <c r="J74" s="11" t="s">
        <v>731</v>
      </c>
      <c r="K74" s="16">
        <v>0.12</v>
      </c>
      <c r="L74" s="647" t="s">
        <v>620</v>
      </c>
      <c r="M74" s="625" t="s">
        <v>1377</v>
      </c>
      <c r="N74" s="658" t="str">
        <f t="shared" si="1"/>
        <v>神奈川県藤沢市</v>
      </c>
      <c r="O74" s="622">
        <v>10.84</v>
      </c>
      <c r="P74" s="625">
        <v>10.66</v>
      </c>
      <c r="Q74" s="658">
        <v>10.54</v>
      </c>
      <c r="T74" s="1"/>
      <c r="U74" s="1"/>
      <c r="V74" s="1"/>
      <c r="W74" s="1"/>
      <c r="X74" s="1"/>
    </row>
    <row r="75" spans="5:24">
      <c r="E75" s="2"/>
      <c r="G75" s="7" t="s">
        <v>570</v>
      </c>
      <c r="H75" s="7" t="s">
        <v>747</v>
      </c>
      <c r="J75" s="11" t="s">
        <v>731</v>
      </c>
      <c r="K75" s="16">
        <v>0.12</v>
      </c>
      <c r="L75" s="647" t="s">
        <v>620</v>
      </c>
      <c r="M75" s="625" t="s">
        <v>1380</v>
      </c>
      <c r="N75" s="658" t="str">
        <f t="shared" si="1"/>
        <v>神奈川県逗子市</v>
      </c>
      <c r="O75" s="622">
        <v>10.84</v>
      </c>
      <c r="P75" s="625">
        <v>10.66</v>
      </c>
      <c r="Q75" s="658">
        <v>10.54</v>
      </c>
      <c r="T75" s="1"/>
      <c r="U75" s="1"/>
      <c r="V75" s="1"/>
      <c r="W75" s="1"/>
      <c r="X75" s="1"/>
    </row>
    <row r="76" spans="5:24">
      <c r="E76" s="2"/>
      <c r="G76" s="7" t="s">
        <v>570</v>
      </c>
      <c r="H76" s="7" t="s">
        <v>748</v>
      </c>
      <c r="J76" s="11" t="s">
        <v>731</v>
      </c>
      <c r="K76" s="16">
        <v>0.12</v>
      </c>
      <c r="L76" s="647" t="s">
        <v>620</v>
      </c>
      <c r="M76" s="625" t="s">
        <v>1381</v>
      </c>
      <c r="N76" s="658" t="str">
        <f t="shared" si="1"/>
        <v>神奈川県三浦市</v>
      </c>
      <c r="O76" s="622">
        <v>10.84</v>
      </c>
      <c r="P76" s="625">
        <v>10.66</v>
      </c>
      <c r="Q76" s="658">
        <v>10.54</v>
      </c>
      <c r="T76" s="1"/>
      <c r="U76" s="1"/>
      <c r="V76" s="1"/>
      <c r="W76" s="1"/>
      <c r="X76" s="1"/>
    </row>
    <row r="77" spans="5:24">
      <c r="E77" s="2"/>
      <c r="G77" s="7" t="s">
        <v>570</v>
      </c>
      <c r="H77" s="7" t="s">
        <v>749</v>
      </c>
      <c r="J77" s="11" t="s">
        <v>731</v>
      </c>
      <c r="K77" s="16">
        <v>0.12</v>
      </c>
      <c r="L77" s="647" t="s">
        <v>620</v>
      </c>
      <c r="M77" s="625" t="s">
        <v>2431</v>
      </c>
      <c r="N77" s="658" t="str">
        <f t="shared" si="1"/>
        <v>神奈川県海老名市</v>
      </c>
      <c r="O77" s="622">
        <v>10.84</v>
      </c>
      <c r="P77" s="625">
        <v>10.66</v>
      </c>
      <c r="Q77" s="658">
        <v>10.54</v>
      </c>
      <c r="T77" s="1"/>
      <c r="U77" s="1"/>
      <c r="V77" s="1"/>
      <c r="W77" s="1"/>
      <c r="X77" s="1"/>
    </row>
    <row r="78" spans="5:24">
      <c r="E78" s="2"/>
      <c r="G78" s="7" t="s">
        <v>570</v>
      </c>
      <c r="H78" s="7" t="s">
        <v>750</v>
      </c>
      <c r="J78" s="11" t="s">
        <v>731</v>
      </c>
      <c r="K78" s="16">
        <v>0.12</v>
      </c>
      <c r="L78" s="647" t="s">
        <v>661</v>
      </c>
      <c r="M78" s="625" t="s">
        <v>1785</v>
      </c>
      <c r="N78" s="658" t="str">
        <f t="shared" si="1"/>
        <v>大阪府豊中市</v>
      </c>
      <c r="O78" s="622">
        <v>10.84</v>
      </c>
      <c r="P78" s="625">
        <v>10.66</v>
      </c>
      <c r="Q78" s="658">
        <v>10.54</v>
      </c>
      <c r="T78" s="1"/>
      <c r="U78" s="1"/>
      <c r="V78" s="1"/>
      <c r="W78" s="1"/>
      <c r="X78" s="1"/>
    </row>
    <row r="79" spans="5:24">
      <c r="E79" s="2"/>
      <c r="G79" s="7" t="s">
        <v>570</v>
      </c>
      <c r="H79" s="7" t="s">
        <v>751</v>
      </c>
      <c r="J79" s="11" t="s">
        <v>731</v>
      </c>
      <c r="K79" s="16">
        <v>0.12</v>
      </c>
      <c r="L79" s="647" t="s">
        <v>661</v>
      </c>
      <c r="M79" s="625" t="s">
        <v>1786</v>
      </c>
      <c r="N79" s="658" t="str">
        <f t="shared" si="1"/>
        <v>大阪府池田市</v>
      </c>
      <c r="O79" s="622">
        <v>10.84</v>
      </c>
      <c r="P79" s="625">
        <v>10.66</v>
      </c>
      <c r="Q79" s="658">
        <v>10.54</v>
      </c>
      <c r="T79" s="1"/>
      <c r="U79" s="1"/>
      <c r="V79" s="1"/>
      <c r="W79" s="1"/>
      <c r="X79" s="1"/>
    </row>
    <row r="80" spans="5:24">
      <c r="E80" s="2"/>
      <c r="G80" s="7" t="s">
        <v>570</v>
      </c>
      <c r="H80" s="7" t="s">
        <v>752</v>
      </c>
      <c r="J80" s="11" t="s">
        <v>731</v>
      </c>
      <c r="K80" s="16">
        <v>0.12</v>
      </c>
      <c r="L80" s="647" t="s">
        <v>661</v>
      </c>
      <c r="M80" s="625" t="s">
        <v>1787</v>
      </c>
      <c r="N80" s="658" t="str">
        <f t="shared" si="1"/>
        <v>大阪府吹田市</v>
      </c>
      <c r="O80" s="622">
        <v>10.84</v>
      </c>
      <c r="P80" s="625">
        <v>10.66</v>
      </c>
      <c r="Q80" s="658">
        <v>10.54</v>
      </c>
      <c r="T80" s="1"/>
      <c r="U80" s="1"/>
      <c r="V80" s="1"/>
      <c r="W80" s="1"/>
      <c r="X80" s="1"/>
    </row>
    <row r="81" spans="5:24">
      <c r="E81" s="2"/>
      <c r="G81" s="7" t="s">
        <v>570</v>
      </c>
      <c r="H81" s="7" t="s">
        <v>753</v>
      </c>
      <c r="J81" s="11" t="s">
        <v>731</v>
      </c>
      <c r="K81" s="16">
        <v>0.12</v>
      </c>
      <c r="L81" s="647" t="s">
        <v>661</v>
      </c>
      <c r="M81" s="625" t="s">
        <v>1789</v>
      </c>
      <c r="N81" s="658" t="str">
        <f t="shared" si="1"/>
        <v>大阪府高槻市</v>
      </c>
      <c r="O81" s="622">
        <v>10.84</v>
      </c>
      <c r="P81" s="625">
        <v>10.66</v>
      </c>
      <c r="Q81" s="658">
        <v>10.54</v>
      </c>
      <c r="T81" s="1"/>
      <c r="U81" s="1"/>
      <c r="V81" s="1"/>
      <c r="W81" s="1"/>
      <c r="X81" s="1"/>
    </row>
    <row r="82" spans="5:24">
      <c r="E82" s="2"/>
      <c r="G82" s="7" t="s">
        <v>570</v>
      </c>
      <c r="H82" s="7" t="s">
        <v>754</v>
      </c>
      <c r="J82" s="11" t="s">
        <v>731</v>
      </c>
      <c r="K82" s="16">
        <v>0.12</v>
      </c>
      <c r="L82" s="647" t="s">
        <v>661</v>
      </c>
      <c r="M82" s="625" t="s">
        <v>1797</v>
      </c>
      <c r="N82" s="658" t="str">
        <f t="shared" si="1"/>
        <v>大阪府寝屋川市</v>
      </c>
      <c r="O82" s="622">
        <v>10.84</v>
      </c>
      <c r="P82" s="625">
        <v>10.66</v>
      </c>
      <c r="Q82" s="658">
        <v>10.54</v>
      </c>
      <c r="T82" s="1"/>
      <c r="U82" s="1"/>
      <c r="V82" s="1"/>
      <c r="W82" s="1"/>
      <c r="X82" s="1"/>
    </row>
    <row r="83" spans="5:24">
      <c r="E83" s="2"/>
      <c r="G83" s="7" t="s">
        <v>570</v>
      </c>
      <c r="H83" s="7" t="s">
        <v>755</v>
      </c>
      <c r="J83" s="11" t="s">
        <v>731</v>
      </c>
      <c r="K83" s="16">
        <v>0.12</v>
      </c>
      <c r="L83" s="647" t="s">
        <v>661</v>
      </c>
      <c r="M83" s="625" t="s">
        <v>1802</v>
      </c>
      <c r="N83" s="658" t="str">
        <f t="shared" si="1"/>
        <v>大阪府箕面市</v>
      </c>
      <c r="O83" s="622">
        <v>10.84</v>
      </c>
      <c r="P83" s="625">
        <v>10.66</v>
      </c>
      <c r="Q83" s="658">
        <v>10.54</v>
      </c>
      <c r="T83" s="1"/>
      <c r="U83" s="1"/>
      <c r="V83" s="1"/>
      <c r="W83" s="1"/>
      <c r="X83" s="1"/>
    </row>
    <row r="84" spans="5:24">
      <c r="E84" s="2"/>
      <c r="G84" s="7" t="s">
        <v>570</v>
      </c>
      <c r="H84" s="7" t="s">
        <v>756</v>
      </c>
      <c r="J84" s="11" t="s">
        <v>731</v>
      </c>
      <c r="K84" s="16">
        <v>0.12</v>
      </c>
      <c r="L84" s="647" t="s">
        <v>661</v>
      </c>
      <c r="M84" s="625" t="s">
        <v>1811</v>
      </c>
      <c r="N84" s="658" t="str">
        <f t="shared" si="1"/>
        <v>大阪府四條畷市</v>
      </c>
      <c r="O84" s="622">
        <v>10.84</v>
      </c>
      <c r="P84" s="625">
        <v>10.66</v>
      </c>
      <c r="Q84" s="658">
        <v>10.54</v>
      </c>
      <c r="T84" s="1"/>
      <c r="U84" s="1"/>
      <c r="V84" s="1"/>
      <c r="W84" s="1"/>
      <c r="X84" s="1"/>
    </row>
    <row r="85" spans="5:24" ht="13.8" thickBot="1">
      <c r="E85" s="2"/>
      <c r="G85" s="7" t="s">
        <v>570</v>
      </c>
      <c r="H85" s="7" t="s">
        <v>758</v>
      </c>
      <c r="J85" s="12" t="s">
        <v>731</v>
      </c>
      <c r="K85" s="631">
        <v>0.12</v>
      </c>
      <c r="L85" s="659" t="s">
        <v>665</v>
      </c>
      <c r="M85" s="628" t="s">
        <v>1825</v>
      </c>
      <c r="N85" s="660" t="str">
        <f t="shared" si="1"/>
        <v>兵庫県神戸市</v>
      </c>
      <c r="O85" s="627">
        <v>10.84</v>
      </c>
      <c r="P85" s="628">
        <v>10.66</v>
      </c>
      <c r="Q85" s="660">
        <v>10.54</v>
      </c>
      <c r="T85" s="1"/>
      <c r="U85" s="1"/>
      <c r="V85" s="1"/>
      <c r="W85" s="1"/>
      <c r="X85" s="1"/>
    </row>
    <row r="86" spans="5:24">
      <c r="E86" s="2"/>
      <c r="G86" s="7" t="s">
        <v>570</v>
      </c>
      <c r="H86" s="7" t="s">
        <v>759</v>
      </c>
      <c r="J86" s="13" t="s">
        <v>757</v>
      </c>
      <c r="K86" s="136">
        <v>0.1</v>
      </c>
      <c r="L86" s="655" t="s">
        <v>603</v>
      </c>
      <c r="M86" s="656" t="s">
        <v>1089</v>
      </c>
      <c r="N86" s="663" t="str">
        <f t="shared" si="1"/>
        <v>茨城県水戸市</v>
      </c>
      <c r="O86" s="672">
        <v>10.7</v>
      </c>
      <c r="P86" s="656">
        <v>10.55</v>
      </c>
      <c r="Q86" s="662">
        <v>10.45</v>
      </c>
      <c r="T86" s="1"/>
      <c r="U86" s="1"/>
      <c r="V86" s="1"/>
      <c r="W86" s="1"/>
      <c r="X86" s="1"/>
    </row>
    <row r="87" spans="5:24">
      <c r="E87" s="2"/>
      <c r="G87" s="7" t="s">
        <v>570</v>
      </c>
      <c r="H87" s="7" t="s">
        <v>760</v>
      </c>
      <c r="J87" s="11" t="s">
        <v>757</v>
      </c>
      <c r="K87" s="16">
        <v>0.1</v>
      </c>
      <c r="L87" s="647" t="s">
        <v>603</v>
      </c>
      <c r="M87" s="625" t="s">
        <v>1090</v>
      </c>
      <c r="N87" s="642" t="str">
        <f t="shared" si="1"/>
        <v>茨城県日立市</v>
      </c>
      <c r="O87" s="622">
        <v>10.7</v>
      </c>
      <c r="P87" s="625">
        <v>10.55</v>
      </c>
      <c r="Q87" s="658">
        <v>10.45</v>
      </c>
      <c r="T87" s="1"/>
      <c r="U87" s="1"/>
      <c r="V87" s="1"/>
      <c r="W87" s="1"/>
      <c r="X87" s="1"/>
    </row>
    <row r="88" spans="5:24">
      <c r="E88" s="2"/>
      <c r="G88" s="7" t="s">
        <v>570</v>
      </c>
      <c r="H88" s="7" t="s">
        <v>761</v>
      </c>
      <c r="J88" s="11" t="s">
        <v>757</v>
      </c>
      <c r="K88" s="16">
        <v>0.1</v>
      </c>
      <c r="L88" s="647" t="s">
        <v>603</v>
      </c>
      <c r="M88" s="625" t="s">
        <v>1095</v>
      </c>
      <c r="N88" s="642" t="str">
        <f t="shared" si="1"/>
        <v>茨城県龍ケ崎市</v>
      </c>
      <c r="O88" s="622">
        <v>10.7</v>
      </c>
      <c r="P88" s="625">
        <v>10.55</v>
      </c>
      <c r="Q88" s="658">
        <v>10.45</v>
      </c>
      <c r="T88" s="1"/>
      <c r="U88" s="1"/>
      <c r="V88" s="1"/>
      <c r="W88" s="1"/>
      <c r="X88" s="1"/>
    </row>
    <row r="89" spans="5:24">
      <c r="E89" s="2"/>
      <c r="G89" s="7" t="s">
        <v>570</v>
      </c>
      <c r="H89" s="7" t="s">
        <v>762</v>
      </c>
      <c r="J89" s="11" t="s">
        <v>757</v>
      </c>
      <c r="K89" s="16">
        <v>0.1</v>
      </c>
      <c r="L89" s="647" t="s">
        <v>603</v>
      </c>
      <c r="M89" s="625" t="s">
        <v>1102</v>
      </c>
      <c r="N89" s="642" t="str">
        <f t="shared" si="1"/>
        <v>茨城県取手市</v>
      </c>
      <c r="O89" s="622">
        <v>10.7</v>
      </c>
      <c r="P89" s="625">
        <v>10.55</v>
      </c>
      <c r="Q89" s="658">
        <v>10.45</v>
      </c>
      <c r="T89" s="1"/>
      <c r="U89" s="1"/>
      <c r="V89" s="1"/>
      <c r="W89" s="1"/>
      <c r="X89" s="1"/>
    </row>
    <row r="90" spans="5:24">
      <c r="E90" s="2"/>
      <c r="G90" s="7" t="s">
        <v>570</v>
      </c>
      <c r="H90" s="7" t="s">
        <v>763</v>
      </c>
      <c r="J90" s="11" t="s">
        <v>757</v>
      </c>
      <c r="K90" s="16">
        <v>0.1</v>
      </c>
      <c r="L90" s="647" t="s">
        <v>603</v>
      </c>
      <c r="M90" s="625" t="s">
        <v>1104</v>
      </c>
      <c r="N90" s="642" t="str">
        <f t="shared" si="1"/>
        <v>茨城県つくば市</v>
      </c>
      <c r="O90" s="622">
        <v>10.7</v>
      </c>
      <c r="P90" s="625">
        <v>10.55</v>
      </c>
      <c r="Q90" s="658">
        <v>10.45</v>
      </c>
      <c r="T90" s="1"/>
      <c r="U90" s="1"/>
      <c r="V90" s="1"/>
      <c r="W90" s="1"/>
      <c r="X90" s="1"/>
    </row>
    <row r="91" spans="5:24">
      <c r="E91" s="2"/>
      <c r="G91" s="7" t="s">
        <v>570</v>
      </c>
      <c r="H91" s="7" t="s">
        <v>764</v>
      </c>
      <c r="J91" s="11" t="s">
        <v>757</v>
      </c>
      <c r="K91" s="16">
        <v>0.1</v>
      </c>
      <c r="L91" s="647" t="s">
        <v>603</v>
      </c>
      <c r="M91" s="625" t="s">
        <v>1108</v>
      </c>
      <c r="N91" s="642" t="str">
        <f t="shared" si="1"/>
        <v>茨城県守谷市</v>
      </c>
      <c r="O91" s="622">
        <v>10.7</v>
      </c>
      <c r="P91" s="625">
        <v>10.55</v>
      </c>
      <c r="Q91" s="658">
        <v>10.45</v>
      </c>
      <c r="T91" s="1"/>
      <c r="U91" s="1"/>
      <c r="V91" s="1"/>
      <c r="W91" s="1"/>
      <c r="X91" s="1"/>
    </row>
    <row r="92" spans="5:24">
      <c r="E92" s="2"/>
      <c r="G92" s="7" t="s">
        <v>570</v>
      </c>
      <c r="H92" s="7" t="s">
        <v>765</v>
      </c>
      <c r="J92" s="11" t="s">
        <v>757</v>
      </c>
      <c r="K92" s="16">
        <v>0.1</v>
      </c>
      <c r="L92" s="647" t="s">
        <v>611</v>
      </c>
      <c r="M92" s="625" t="s">
        <v>1196</v>
      </c>
      <c r="N92" s="642" t="str">
        <f t="shared" si="1"/>
        <v>埼玉県川口市</v>
      </c>
      <c r="O92" s="622">
        <v>10.7</v>
      </c>
      <c r="P92" s="625">
        <v>10.55</v>
      </c>
      <c r="Q92" s="658">
        <v>10.45</v>
      </c>
      <c r="T92" s="1"/>
      <c r="U92" s="1"/>
      <c r="V92" s="1"/>
      <c r="W92" s="1"/>
      <c r="X92" s="1"/>
    </row>
    <row r="93" spans="5:24">
      <c r="E93" s="2"/>
      <c r="G93" s="7" t="s">
        <v>570</v>
      </c>
      <c r="H93" s="7" t="s">
        <v>766</v>
      </c>
      <c r="J93" s="11" t="s">
        <v>757</v>
      </c>
      <c r="K93" s="16">
        <v>0.1</v>
      </c>
      <c r="L93" s="647" t="s">
        <v>611</v>
      </c>
      <c r="M93" s="625" t="s">
        <v>1210</v>
      </c>
      <c r="N93" s="642" t="str">
        <f t="shared" si="1"/>
        <v>埼玉県草加市</v>
      </c>
      <c r="O93" s="622">
        <v>10.7</v>
      </c>
      <c r="P93" s="625">
        <v>10.55</v>
      </c>
      <c r="Q93" s="658">
        <v>10.45</v>
      </c>
      <c r="T93" s="1"/>
      <c r="U93" s="1"/>
      <c r="V93" s="1"/>
      <c r="W93" s="1"/>
      <c r="X93" s="1"/>
    </row>
    <row r="94" spans="5:24">
      <c r="E94" s="2"/>
      <c r="G94" s="7" t="s">
        <v>570</v>
      </c>
      <c r="H94" s="7" t="s">
        <v>767</v>
      </c>
      <c r="J94" s="11" t="s">
        <v>757</v>
      </c>
      <c r="K94" s="16">
        <v>0.1</v>
      </c>
      <c r="L94" s="647" t="s">
        <v>611</v>
      </c>
      <c r="M94" s="625" t="s">
        <v>1213</v>
      </c>
      <c r="N94" s="642" t="str">
        <f t="shared" si="1"/>
        <v>埼玉県戸田市</v>
      </c>
      <c r="O94" s="622">
        <v>10.7</v>
      </c>
      <c r="P94" s="625">
        <v>10.55</v>
      </c>
      <c r="Q94" s="658">
        <v>10.45</v>
      </c>
      <c r="T94" s="1"/>
      <c r="U94" s="1"/>
      <c r="V94" s="1"/>
      <c r="W94" s="1"/>
      <c r="X94" s="1"/>
    </row>
    <row r="95" spans="5:24">
      <c r="E95" s="2"/>
      <c r="G95" s="7" t="s">
        <v>570</v>
      </c>
      <c r="H95" s="7" t="s">
        <v>768</v>
      </c>
      <c r="J95" s="11" t="s">
        <v>757</v>
      </c>
      <c r="K95" s="16">
        <v>0.1</v>
      </c>
      <c r="L95" s="647" t="s">
        <v>611</v>
      </c>
      <c r="M95" s="625" t="s">
        <v>1218</v>
      </c>
      <c r="N95" s="642" t="str">
        <f t="shared" si="1"/>
        <v>埼玉県新座市</v>
      </c>
      <c r="O95" s="622">
        <v>10.7</v>
      </c>
      <c r="P95" s="625">
        <v>10.55</v>
      </c>
      <c r="Q95" s="658">
        <v>10.45</v>
      </c>
      <c r="T95" s="1"/>
      <c r="U95" s="1"/>
      <c r="V95" s="1"/>
      <c r="W95" s="1"/>
      <c r="X95" s="1"/>
    </row>
    <row r="96" spans="5:24">
      <c r="E96" s="2"/>
      <c r="G96" s="7" t="s">
        <v>570</v>
      </c>
      <c r="H96" s="7" t="s">
        <v>769</v>
      </c>
      <c r="J96" s="11" t="s">
        <v>757</v>
      </c>
      <c r="K96" s="16">
        <v>0.1</v>
      </c>
      <c r="L96" s="647" t="s">
        <v>611</v>
      </c>
      <c r="M96" s="625" t="s">
        <v>1222</v>
      </c>
      <c r="N96" s="642" t="str">
        <f t="shared" si="1"/>
        <v>埼玉県八潮市</v>
      </c>
      <c r="O96" s="622">
        <v>10.7</v>
      </c>
      <c r="P96" s="625">
        <v>10.55</v>
      </c>
      <c r="Q96" s="658">
        <v>10.45</v>
      </c>
      <c r="T96" s="1"/>
      <c r="U96" s="1"/>
      <c r="V96" s="1"/>
      <c r="W96" s="1"/>
      <c r="X96" s="1"/>
    </row>
    <row r="97" spans="5:24">
      <c r="E97" s="2"/>
      <c r="G97" s="7" t="s">
        <v>570</v>
      </c>
      <c r="H97" s="7" t="s">
        <v>770</v>
      </c>
      <c r="J97" s="11" t="s">
        <v>757</v>
      </c>
      <c r="K97" s="16">
        <v>0.1</v>
      </c>
      <c r="L97" s="647" t="s">
        <v>611</v>
      </c>
      <c r="M97" s="625" t="s">
        <v>1231</v>
      </c>
      <c r="N97" s="642" t="str">
        <f t="shared" si="1"/>
        <v>埼玉県ふじみ野市</v>
      </c>
      <c r="O97" s="622">
        <v>10.7</v>
      </c>
      <c r="P97" s="625">
        <v>10.55</v>
      </c>
      <c r="Q97" s="658">
        <v>10.45</v>
      </c>
      <c r="T97" s="1"/>
      <c r="U97" s="1"/>
      <c r="V97" s="1"/>
      <c r="W97" s="1"/>
      <c r="X97" s="1"/>
    </row>
    <row r="98" spans="5:24">
      <c r="E98" s="2"/>
      <c r="G98" s="7" t="s">
        <v>570</v>
      </c>
      <c r="H98" s="7" t="s">
        <v>771</v>
      </c>
      <c r="J98" s="11" t="s">
        <v>757</v>
      </c>
      <c r="K98" s="16">
        <v>0.1</v>
      </c>
      <c r="L98" s="647" t="s">
        <v>614</v>
      </c>
      <c r="M98" s="625" t="s">
        <v>1257</v>
      </c>
      <c r="N98" s="642" t="str">
        <f t="shared" si="1"/>
        <v>千葉県市川市</v>
      </c>
      <c r="O98" s="622">
        <v>10.7</v>
      </c>
      <c r="P98" s="625">
        <v>10.55</v>
      </c>
      <c r="Q98" s="658">
        <v>10.45</v>
      </c>
      <c r="T98" s="1"/>
      <c r="U98" s="1"/>
      <c r="V98" s="1"/>
      <c r="W98" s="1"/>
      <c r="X98" s="1"/>
    </row>
    <row r="99" spans="5:24">
      <c r="E99" s="2"/>
      <c r="G99" s="7" t="s">
        <v>570</v>
      </c>
      <c r="H99" s="7" t="s">
        <v>772</v>
      </c>
      <c r="J99" s="11" t="s">
        <v>757</v>
      </c>
      <c r="K99" s="16">
        <v>0.1</v>
      </c>
      <c r="L99" s="647" t="s">
        <v>614</v>
      </c>
      <c r="M99" s="625" t="s">
        <v>1261</v>
      </c>
      <c r="N99" s="642" t="str">
        <f t="shared" si="1"/>
        <v>千葉県松戸市</v>
      </c>
      <c r="O99" s="622">
        <v>10.7</v>
      </c>
      <c r="P99" s="625">
        <v>10.55</v>
      </c>
      <c r="Q99" s="658">
        <v>10.45</v>
      </c>
      <c r="T99" s="1"/>
      <c r="U99" s="1"/>
      <c r="V99" s="1"/>
      <c r="W99" s="1"/>
      <c r="X99" s="1"/>
    </row>
    <row r="100" spans="5:24">
      <c r="E100" s="2"/>
      <c r="G100" s="7" t="s">
        <v>570</v>
      </c>
      <c r="H100" s="7" t="s">
        <v>773</v>
      </c>
      <c r="J100" s="11" t="s">
        <v>757</v>
      </c>
      <c r="K100" s="16">
        <v>0.1</v>
      </c>
      <c r="L100" s="647" t="s">
        <v>614</v>
      </c>
      <c r="M100" s="625" t="s">
        <v>1265</v>
      </c>
      <c r="N100" s="642" t="str">
        <f t="shared" si="1"/>
        <v>千葉県佐倉市</v>
      </c>
      <c r="O100" s="622">
        <v>10.7</v>
      </c>
      <c r="P100" s="625">
        <v>10.55</v>
      </c>
      <c r="Q100" s="658">
        <v>10.45</v>
      </c>
      <c r="T100" s="1"/>
      <c r="U100" s="1"/>
      <c r="V100" s="1"/>
      <c r="W100" s="1"/>
      <c r="X100" s="1"/>
    </row>
    <row r="101" spans="5:24">
      <c r="E101" s="2"/>
      <c r="G101" s="7" t="s">
        <v>570</v>
      </c>
      <c r="H101" s="7" t="s">
        <v>774</v>
      </c>
      <c r="J101" s="11" t="s">
        <v>757</v>
      </c>
      <c r="K101" s="16">
        <v>0.1</v>
      </c>
      <c r="L101" s="647" t="s">
        <v>614</v>
      </c>
      <c r="M101" s="625" t="s">
        <v>1271</v>
      </c>
      <c r="N101" s="642" t="str">
        <f t="shared" si="1"/>
        <v>千葉県市原市</v>
      </c>
      <c r="O101" s="622">
        <v>10.7</v>
      </c>
      <c r="P101" s="625">
        <v>10.55</v>
      </c>
      <c r="Q101" s="658">
        <v>10.45</v>
      </c>
      <c r="T101" s="1"/>
      <c r="U101" s="1"/>
      <c r="V101" s="1"/>
      <c r="W101" s="1"/>
      <c r="X101" s="1"/>
    </row>
    <row r="102" spans="5:24">
      <c r="E102" s="2"/>
      <c r="G102" s="7" t="s">
        <v>570</v>
      </c>
      <c r="H102" s="7" t="s">
        <v>775</v>
      </c>
      <c r="J102" s="11" t="s">
        <v>757</v>
      </c>
      <c r="K102" s="16">
        <v>0.1</v>
      </c>
      <c r="L102" s="647" t="s">
        <v>2525</v>
      </c>
      <c r="M102" s="625" t="s">
        <v>1273</v>
      </c>
      <c r="N102" s="642" t="str">
        <f t="shared" si="1"/>
        <v>千葉県八千代市</v>
      </c>
      <c r="O102" s="622">
        <v>10.7</v>
      </c>
      <c r="P102" s="625">
        <v>10.55</v>
      </c>
      <c r="Q102" s="658">
        <v>10.45</v>
      </c>
      <c r="T102" s="1"/>
      <c r="U102" s="1"/>
      <c r="V102" s="1"/>
      <c r="W102" s="1"/>
      <c r="X102" s="1"/>
    </row>
    <row r="103" spans="5:24">
      <c r="E103" s="2"/>
      <c r="G103" s="7" t="s">
        <v>570</v>
      </c>
      <c r="H103" s="7" t="s">
        <v>776</v>
      </c>
      <c r="J103" s="11" t="s">
        <v>757</v>
      </c>
      <c r="K103" s="16">
        <v>0.1</v>
      </c>
      <c r="L103" s="647" t="s">
        <v>614</v>
      </c>
      <c r="M103" s="625" t="s">
        <v>1280</v>
      </c>
      <c r="N103" s="642" t="str">
        <f t="shared" si="1"/>
        <v>千葉県四街道市</v>
      </c>
      <c r="O103" s="622">
        <v>10.7</v>
      </c>
      <c r="P103" s="625">
        <v>10.55</v>
      </c>
      <c r="Q103" s="658">
        <v>10.45</v>
      </c>
      <c r="T103" s="1"/>
      <c r="U103" s="1"/>
      <c r="V103" s="1"/>
      <c r="W103" s="1"/>
      <c r="X103" s="1"/>
    </row>
    <row r="104" spans="5:24">
      <c r="E104" s="2"/>
      <c r="G104" s="7" t="s">
        <v>570</v>
      </c>
      <c r="H104" s="7" t="s">
        <v>777</v>
      </c>
      <c r="J104" s="11" t="s">
        <v>757</v>
      </c>
      <c r="K104" s="16">
        <v>0.1</v>
      </c>
      <c r="L104" s="647" t="s">
        <v>614</v>
      </c>
      <c r="M104" s="625" t="s">
        <v>1281</v>
      </c>
      <c r="N104" s="642" t="str">
        <f t="shared" si="1"/>
        <v>千葉県袖ケ浦市</v>
      </c>
      <c r="O104" s="622">
        <v>10.7</v>
      </c>
      <c r="P104" s="625">
        <v>10.55</v>
      </c>
      <c r="Q104" s="658">
        <v>10.45</v>
      </c>
      <c r="T104" s="1"/>
      <c r="U104" s="1"/>
      <c r="V104" s="1"/>
      <c r="W104" s="1"/>
      <c r="X104" s="1"/>
    </row>
    <row r="105" spans="5:24">
      <c r="E105" s="2"/>
      <c r="G105" s="7" t="s">
        <v>570</v>
      </c>
      <c r="H105" s="7" t="s">
        <v>778</v>
      </c>
      <c r="J105" s="11" t="s">
        <v>757</v>
      </c>
      <c r="K105" s="16">
        <v>0.1</v>
      </c>
      <c r="L105" s="647" t="s">
        <v>614</v>
      </c>
      <c r="M105" s="625" t="s">
        <v>1283</v>
      </c>
      <c r="N105" s="642" t="str">
        <f t="shared" si="1"/>
        <v>千葉県印西市</v>
      </c>
      <c r="O105" s="622">
        <v>10.7</v>
      </c>
      <c r="P105" s="625">
        <v>10.55</v>
      </c>
      <c r="Q105" s="658">
        <v>10.45</v>
      </c>
      <c r="T105" s="1"/>
      <c r="U105" s="1"/>
      <c r="V105" s="1"/>
      <c r="W105" s="1"/>
      <c r="X105" s="1"/>
    </row>
    <row r="106" spans="5:24">
      <c r="E106" s="2"/>
      <c r="G106" s="7" t="s">
        <v>570</v>
      </c>
      <c r="H106" s="7" t="s">
        <v>779</v>
      </c>
      <c r="J106" s="11" t="s">
        <v>757</v>
      </c>
      <c r="K106" s="16">
        <v>0.1</v>
      </c>
      <c r="L106" s="647" t="s">
        <v>614</v>
      </c>
      <c r="M106" s="625" t="s">
        <v>1293</v>
      </c>
      <c r="N106" s="642" t="str">
        <f t="shared" si="1"/>
        <v>千葉県栄町</v>
      </c>
      <c r="O106" s="622">
        <v>10.7</v>
      </c>
      <c r="P106" s="625">
        <v>10.55</v>
      </c>
      <c r="Q106" s="658">
        <v>10.45</v>
      </c>
      <c r="T106" s="1"/>
      <c r="U106" s="1"/>
      <c r="V106" s="1"/>
      <c r="W106" s="1"/>
      <c r="X106" s="1"/>
    </row>
    <row r="107" spans="5:24">
      <c r="E107" s="2"/>
      <c r="G107" s="7" t="s">
        <v>570</v>
      </c>
      <c r="H107" s="7" t="s">
        <v>780</v>
      </c>
      <c r="J107" s="11" t="s">
        <v>757</v>
      </c>
      <c r="K107" s="16">
        <v>0.1</v>
      </c>
      <c r="L107" s="647" t="s">
        <v>617</v>
      </c>
      <c r="M107" s="625" t="s">
        <v>2432</v>
      </c>
      <c r="N107" s="642" t="str">
        <f t="shared" si="1"/>
        <v>東京都福生市</v>
      </c>
      <c r="O107" s="622">
        <v>10.7</v>
      </c>
      <c r="P107" s="625">
        <v>10.55</v>
      </c>
      <c r="Q107" s="658">
        <v>10.45</v>
      </c>
      <c r="T107" s="1"/>
      <c r="U107" s="1"/>
      <c r="V107" s="1"/>
      <c r="W107" s="1"/>
      <c r="X107" s="1"/>
    </row>
    <row r="108" spans="5:24">
      <c r="E108" s="2"/>
      <c r="G108" s="7" t="s">
        <v>570</v>
      </c>
      <c r="H108" s="7" t="s">
        <v>781</v>
      </c>
      <c r="J108" s="11" t="s">
        <v>757</v>
      </c>
      <c r="K108" s="16">
        <v>0.1</v>
      </c>
      <c r="L108" s="647" t="s">
        <v>617</v>
      </c>
      <c r="M108" s="625" t="s">
        <v>1356</v>
      </c>
      <c r="N108" s="642" t="str">
        <f t="shared" si="1"/>
        <v>東京都あきる野市</v>
      </c>
      <c r="O108" s="622">
        <v>10.7</v>
      </c>
      <c r="P108" s="625">
        <v>10.55</v>
      </c>
      <c r="Q108" s="658">
        <v>10.45</v>
      </c>
      <c r="T108" s="1"/>
      <c r="U108" s="1"/>
      <c r="V108" s="1"/>
      <c r="W108" s="1"/>
      <c r="X108" s="1"/>
    </row>
    <row r="109" spans="5:24">
      <c r="E109" s="2"/>
      <c r="G109" s="7" t="s">
        <v>570</v>
      </c>
      <c r="H109" s="7" t="s">
        <v>782</v>
      </c>
      <c r="J109" s="11" t="s">
        <v>757</v>
      </c>
      <c r="K109" s="16">
        <v>0.1</v>
      </c>
      <c r="L109" s="647" t="s">
        <v>617</v>
      </c>
      <c r="M109" s="625" t="s">
        <v>1359</v>
      </c>
      <c r="N109" s="642" t="str">
        <f t="shared" si="1"/>
        <v>東京都日の出町</v>
      </c>
      <c r="O109" s="622">
        <v>10.7</v>
      </c>
      <c r="P109" s="625">
        <v>10.55</v>
      </c>
      <c r="Q109" s="658">
        <v>10.45</v>
      </c>
      <c r="T109" s="1"/>
      <c r="U109" s="1"/>
      <c r="V109" s="1"/>
      <c r="W109" s="1"/>
      <c r="X109" s="1"/>
    </row>
    <row r="110" spans="5:24">
      <c r="E110" s="2"/>
      <c r="G110" s="7" t="s">
        <v>570</v>
      </c>
      <c r="H110" s="7" t="s">
        <v>783</v>
      </c>
      <c r="J110" s="11" t="s">
        <v>757</v>
      </c>
      <c r="K110" s="16">
        <v>0.1</v>
      </c>
      <c r="L110" s="647" t="s">
        <v>620</v>
      </c>
      <c r="M110" s="625" t="s">
        <v>1375</v>
      </c>
      <c r="N110" s="642" t="str">
        <f t="shared" si="1"/>
        <v>神奈川県平塚市</v>
      </c>
      <c r="O110" s="622">
        <v>10.7</v>
      </c>
      <c r="P110" s="625">
        <v>10.55</v>
      </c>
      <c r="Q110" s="658">
        <v>10.45</v>
      </c>
      <c r="T110" s="1"/>
      <c r="U110" s="1"/>
      <c r="V110" s="1"/>
      <c r="W110" s="1"/>
      <c r="X110" s="1"/>
    </row>
    <row r="111" spans="5:24">
      <c r="E111" s="2"/>
      <c r="G111" s="7" t="s">
        <v>570</v>
      </c>
      <c r="H111" s="7" t="s">
        <v>784</v>
      </c>
      <c r="J111" s="11" t="s">
        <v>757</v>
      </c>
      <c r="K111" s="16">
        <v>0.1</v>
      </c>
      <c r="L111" s="647" t="s">
        <v>620</v>
      </c>
      <c r="M111" s="625" t="s">
        <v>1378</v>
      </c>
      <c r="N111" s="642" t="str">
        <f t="shared" si="1"/>
        <v>神奈川県小田原市</v>
      </c>
      <c r="O111" s="622">
        <v>10.7</v>
      </c>
      <c r="P111" s="625">
        <v>10.55</v>
      </c>
      <c r="Q111" s="658">
        <v>10.45</v>
      </c>
      <c r="T111" s="1"/>
      <c r="U111" s="1"/>
      <c r="V111" s="1"/>
      <c r="W111" s="1"/>
      <c r="X111" s="1"/>
    </row>
    <row r="112" spans="5:24">
      <c r="E112" s="2"/>
      <c r="G112" s="7" t="s">
        <v>570</v>
      </c>
      <c r="H112" s="7" t="s">
        <v>785</v>
      </c>
      <c r="J112" s="11" t="s">
        <v>757</v>
      </c>
      <c r="K112" s="16">
        <v>0.1</v>
      </c>
      <c r="L112" s="647" t="s">
        <v>620</v>
      </c>
      <c r="M112" s="625" t="s">
        <v>1379</v>
      </c>
      <c r="N112" s="642" t="str">
        <f t="shared" si="1"/>
        <v>神奈川県茅ヶ崎市</v>
      </c>
      <c r="O112" s="622">
        <v>10.7</v>
      </c>
      <c r="P112" s="625">
        <v>10.55</v>
      </c>
      <c r="Q112" s="658">
        <v>10.45</v>
      </c>
      <c r="T112" s="1"/>
      <c r="U112" s="1"/>
      <c r="V112" s="1"/>
      <c r="W112" s="1"/>
      <c r="X112" s="1"/>
    </row>
    <row r="113" spans="5:24">
      <c r="E113" s="2"/>
      <c r="G113" s="7" t="s">
        <v>570</v>
      </c>
      <c r="H113" s="7" t="s">
        <v>786</v>
      </c>
      <c r="J113" s="11" t="s">
        <v>757</v>
      </c>
      <c r="K113" s="16">
        <v>0.1</v>
      </c>
      <c r="L113" s="647" t="s">
        <v>620</v>
      </c>
      <c r="M113" s="625" t="s">
        <v>1384</v>
      </c>
      <c r="N113" s="642" t="str">
        <f t="shared" si="1"/>
        <v>神奈川県大和市</v>
      </c>
      <c r="O113" s="622">
        <v>10.7</v>
      </c>
      <c r="P113" s="625">
        <v>10.55</v>
      </c>
      <c r="Q113" s="658">
        <v>10.45</v>
      </c>
      <c r="T113" s="1"/>
      <c r="U113" s="1"/>
      <c r="V113" s="1"/>
      <c r="W113" s="1"/>
      <c r="X113" s="1"/>
    </row>
    <row r="114" spans="5:24">
      <c r="E114" s="2"/>
      <c r="G114" s="7" t="s">
        <v>570</v>
      </c>
      <c r="H114" s="7" t="s">
        <v>788</v>
      </c>
      <c r="J114" s="11" t="s">
        <v>757</v>
      </c>
      <c r="K114" s="16">
        <v>0.1</v>
      </c>
      <c r="L114" s="647" t="s">
        <v>620</v>
      </c>
      <c r="M114" s="625" t="s">
        <v>1385</v>
      </c>
      <c r="N114" s="642" t="str">
        <f t="shared" si="1"/>
        <v>神奈川県伊勢原市</v>
      </c>
      <c r="O114" s="622">
        <v>10.7</v>
      </c>
      <c r="P114" s="625">
        <v>10.55</v>
      </c>
      <c r="Q114" s="658">
        <v>10.45</v>
      </c>
      <c r="T114" s="1"/>
      <c r="U114" s="1"/>
      <c r="V114" s="1"/>
      <c r="W114" s="1"/>
      <c r="X114" s="1"/>
    </row>
    <row r="115" spans="5:24">
      <c r="E115" s="2"/>
      <c r="G115" s="7" t="s">
        <v>570</v>
      </c>
      <c r="H115" s="7" t="s">
        <v>789</v>
      </c>
      <c r="J115" s="11" t="s">
        <v>757</v>
      </c>
      <c r="K115" s="16">
        <v>0.1</v>
      </c>
      <c r="L115" s="647" t="s">
        <v>620</v>
      </c>
      <c r="M115" s="625" t="s">
        <v>1387</v>
      </c>
      <c r="N115" s="642" t="str">
        <f t="shared" si="1"/>
        <v>神奈川県座間市</v>
      </c>
      <c r="O115" s="622">
        <v>10.7</v>
      </c>
      <c r="P115" s="625">
        <v>10.55</v>
      </c>
      <c r="Q115" s="658">
        <v>10.45</v>
      </c>
      <c r="T115" s="1"/>
      <c r="U115" s="1"/>
      <c r="V115" s="1"/>
      <c r="W115" s="1"/>
      <c r="X115" s="1"/>
    </row>
    <row r="116" spans="5:24">
      <c r="E116" s="2"/>
      <c r="G116" s="7" t="s">
        <v>570</v>
      </c>
      <c r="H116" s="7" t="s">
        <v>790</v>
      </c>
      <c r="J116" s="11" t="s">
        <v>757</v>
      </c>
      <c r="K116" s="16">
        <v>0.1</v>
      </c>
      <c r="L116" s="647" t="s">
        <v>620</v>
      </c>
      <c r="M116" s="625" t="s">
        <v>1389</v>
      </c>
      <c r="N116" s="642" t="str">
        <f t="shared" si="1"/>
        <v>神奈川県綾瀬市</v>
      </c>
      <c r="O116" s="622">
        <v>10.7</v>
      </c>
      <c r="P116" s="625">
        <v>10.55</v>
      </c>
      <c r="Q116" s="658">
        <v>10.45</v>
      </c>
      <c r="T116" s="1"/>
      <c r="U116" s="1"/>
      <c r="V116" s="1"/>
      <c r="W116" s="1"/>
      <c r="X116" s="1"/>
    </row>
    <row r="117" spans="5:24">
      <c r="E117" s="2"/>
      <c r="G117" s="7" t="s">
        <v>570</v>
      </c>
      <c r="H117" s="7" t="s">
        <v>791</v>
      </c>
      <c r="J117" s="11" t="s">
        <v>757</v>
      </c>
      <c r="K117" s="16">
        <v>0.1</v>
      </c>
      <c r="L117" s="647" t="s">
        <v>620</v>
      </c>
      <c r="M117" s="625" t="s">
        <v>1390</v>
      </c>
      <c r="N117" s="642" t="str">
        <f t="shared" si="1"/>
        <v>神奈川県葉山町</v>
      </c>
      <c r="O117" s="622">
        <v>10.7</v>
      </c>
      <c r="P117" s="625">
        <v>10.55</v>
      </c>
      <c r="Q117" s="658">
        <v>10.45</v>
      </c>
      <c r="T117" s="1"/>
      <c r="U117" s="1"/>
      <c r="V117" s="1"/>
      <c r="W117" s="1"/>
      <c r="X117" s="1"/>
    </row>
    <row r="118" spans="5:24">
      <c r="E118" s="2"/>
      <c r="G118" s="7" t="s">
        <v>570</v>
      </c>
      <c r="H118" s="7" t="s">
        <v>792</v>
      </c>
      <c r="J118" s="11" t="s">
        <v>757</v>
      </c>
      <c r="K118" s="16">
        <v>0.1</v>
      </c>
      <c r="L118" s="647" t="s">
        <v>620</v>
      </c>
      <c r="M118" s="625" t="s">
        <v>1391</v>
      </c>
      <c r="N118" s="642" t="str">
        <f t="shared" si="1"/>
        <v>神奈川県寒川町</v>
      </c>
      <c r="O118" s="622">
        <v>10.7</v>
      </c>
      <c r="P118" s="625">
        <v>10.55</v>
      </c>
      <c r="Q118" s="658">
        <v>10.45</v>
      </c>
      <c r="T118" s="1"/>
      <c r="U118" s="1"/>
      <c r="V118" s="1"/>
      <c r="W118" s="1"/>
      <c r="X118" s="1"/>
    </row>
    <row r="119" spans="5:24">
      <c r="E119" s="2"/>
      <c r="G119" s="7" t="s">
        <v>570</v>
      </c>
      <c r="H119" s="7" t="s">
        <v>793</v>
      </c>
      <c r="J119" s="11" t="s">
        <v>757</v>
      </c>
      <c r="K119" s="16">
        <v>0.1</v>
      </c>
      <c r="L119" s="647" t="s">
        <v>620</v>
      </c>
      <c r="M119" s="625" t="s">
        <v>1402</v>
      </c>
      <c r="N119" s="642" t="str">
        <f t="shared" si="1"/>
        <v>神奈川県愛川町</v>
      </c>
      <c r="O119" s="622">
        <v>10.7</v>
      </c>
      <c r="P119" s="625">
        <v>10.55</v>
      </c>
      <c r="Q119" s="658">
        <v>10.45</v>
      </c>
      <c r="T119" s="1"/>
      <c r="U119" s="1"/>
      <c r="V119" s="1"/>
      <c r="W119" s="1"/>
      <c r="X119" s="1"/>
    </row>
    <row r="120" spans="5:24">
      <c r="E120" s="2"/>
      <c r="G120" s="7" t="s">
        <v>570</v>
      </c>
      <c r="H120" s="7" t="s">
        <v>794</v>
      </c>
      <c r="J120" s="11" t="s">
        <v>757</v>
      </c>
      <c r="K120" s="16">
        <v>0.1</v>
      </c>
      <c r="L120" s="647" t="s">
        <v>787</v>
      </c>
      <c r="M120" s="625" t="s">
        <v>1681</v>
      </c>
      <c r="N120" s="642" t="str">
        <f t="shared" si="1"/>
        <v>愛知県知立市</v>
      </c>
      <c r="O120" s="622">
        <v>10.7</v>
      </c>
      <c r="P120" s="625">
        <v>10.55</v>
      </c>
      <c r="Q120" s="658">
        <v>10.45</v>
      </c>
      <c r="T120" s="1"/>
      <c r="U120" s="1"/>
      <c r="V120" s="1"/>
      <c r="W120" s="1"/>
      <c r="X120" s="1"/>
    </row>
    <row r="121" spans="5:24">
      <c r="E121" s="2"/>
      <c r="G121" s="7" t="s">
        <v>570</v>
      </c>
      <c r="H121" s="7" t="s">
        <v>795</v>
      </c>
      <c r="J121" s="11" t="s">
        <v>757</v>
      </c>
      <c r="K121" s="16">
        <v>0.1</v>
      </c>
      <c r="L121" s="647" t="s">
        <v>787</v>
      </c>
      <c r="M121" s="625" t="s">
        <v>1685</v>
      </c>
      <c r="N121" s="642" t="str">
        <f t="shared" si="1"/>
        <v>愛知県豊明市</v>
      </c>
      <c r="O121" s="622">
        <v>10.7</v>
      </c>
      <c r="P121" s="625">
        <v>10.55</v>
      </c>
      <c r="Q121" s="658">
        <v>10.45</v>
      </c>
      <c r="T121" s="1"/>
      <c r="U121" s="1"/>
      <c r="V121" s="1"/>
      <c r="W121" s="1"/>
      <c r="X121" s="1"/>
    </row>
    <row r="122" spans="5:24">
      <c r="E122" s="2"/>
      <c r="G122" s="7" t="s">
        <v>570</v>
      </c>
      <c r="H122" s="7" t="s">
        <v>796</v>
      </c>
      <c r="J122" s="11" t="s">
        <v>757</v>
      </c>
      <c r="K122" s="16">
        <v>0.1</v>
      </c>
      <c r="L122" s="647" t="s">
        <v>787</v>
      </c>
      <c r="M122" s="625" t="s">
        <v>2433</v>
      </c>
      <c r="N122" s="642" t="str">
        <f t="shared" si="1"/>
        <v>愛知県みよし市</v>
      </c>
      <c r="O122" s="622">
        <v>10.7</v>
      </c>
      <c r="P122" s="625">
        <v>10.55</v>
      </c>
      <c r="Q122" s="658">
        <v>10.45</v>
      </c>
      <c r="T122" s="1"/>
      <c r="U122" s="1"/>
      <c r="V122" s="1"/>
      <c r="W122" s="1"/>
      <c r="X122" s="1"/>
    </row>
    <row r="123" spans="5:24">
      <c r="E123" s="2"/>
      <c r="G123" s="7" t="s">
        <v>570</v>
      </c>
      <c r="H123" s="7" t="s">
        <v>797</v>
      </c>
      <c r="J123" s="11" t="s">
        <v>757</v>
      </c>
      <c r="K123" s="16">
        <v>0.1</v>
      </c>
      <c r="L123" s="647" t="s">
        <v>654</v>
      </c>
      <c r="M123" s="625" t="s">
        <v>1737</v>
      </c>
      <c r="N123" s="642" t="str">
        <f t="shared" si="1"/>
        <v>滋賀県大津市</v>
      </c>
      <c r="O123" s="622">
        <v>10.7</v>
      </c>
      <c r="P123" s="625">
        <v>10.55</v>
      </c>
      <c r="Q123" s="658">
        <v>10.45</v>
      </c>
      <c r="T123" s="1"/>
      <c r="U123" s="1"/>
      <c r="V123" s="1"/>
      <c r="W123" s="1"/>
      <c r="X123" s="1"/>
    </row>
    <row r="124" spans="5:24">
      <c r="E124" s="2"/>
      <c r="G124" s="7" t="s">
        <v>570</v>
      </c>
      <c r="H124" s="7" t="s">
        <v>798</v>
      </c>
      <c r="J124" s="11" t="s">
        <v>757</v>
      </c>
      <c r="K124" s="16">
        <v>0.1</v>
      </c>
      <c r="L124" s="647" t="s">
        <v>654</v>
      </c>
      <c r="M124" s="625" t="s">
        <v>1741</v>
      </c>
      <c r="N124" s="642" t="str">
        <f t="shared" si="1"/>
        <v>滋賀県草津市</v>
      </c>
      <c r="O124" s="622">
        <v>10.7</v>
      </c>
      <c r="P124" s="625">
        <v>10.55</v>
      </c>
      <c r="Q124" s="658">
        <v>10.45</v>
      </c>
      <c r="T124" s="1"/>
      <c r="U124" s="1"/>
      <c r="V124" s="1"/>
      <c r="W124" s="1"/>
      <c r="X124" s="1"/>
    </row>
    <row r="125" spans="5:24">
      <c r="E125" s="2"/>
      <c r="G125" s="7" t="s">
        <v>570</v>
      </c>
      <c r="H125" s="7" t="s">
        <v>799</v>
      </c>
      <c r="J125" s="11" t="s">
        <v>757</v>
      </c>
      <c r="K125" s="16">
        <v>0.1</v>
      </c>
      <c r="L125" s="647" t="s">
        <v>654</v>
      </c>
      <c r="M125" s="625" t="s">
        <v>2434</v>
      </c>
      <c r="N125" s="642" t="str">
        <f t="shared" si="1"/>
        <v>滋賀県栗東市</v>
      </c>
      <c r="O125" s="622">
        <v>10.7</v>
      </c>
      <c r="P125" s="625">
        <v>10.55</v>
      </c>
      <c r="Q125" s="658">
        <v>10.45</v>
      </c>
      <c r="T125" s="1"/>
      <c r="U125" s="1"/>
      <c r="V125" s="1"/>
      <c r="W125" s="1"/>
      <c r="X125" s="1"/>
    </row>
    <row r="126" spans="5:24">
      <c r="E126" s="2"/>
      <c r="G126" s="7" t="s">
        <v>570</v>
      </c>
      <c r="H126" s="7" t="s">
        <v>800</v>
      </c>
      <c r="J126" s="11" t="s">
        <v>757</v>
      </c>
      <c r="K126" s="16">
        <v>0.1</v>
      </c>
      <c r="L126" s="647" t="s">
        <v>657</v>
      </c>
      <c r="M126" s="625" t="s">
        <v>1756</v>
      </c>
      <c r="N126" s="642" t="str">
        <f t="shared" si="1"/>
        <v>京都府京都市</v>
      </c>
      <c r="O126" s="622">
        <v>10.7</v>
      </c>
      <c r="P126" s="625">
        <v>10.55</v>
      </c>
      <c r="Q126" s="658">
        <v>10.45</v>
      </c>
      <c r="T126" s="1"/>
      <c r="U126" s="1"/>
      <c r="V126" s="1"/>
      <c r="W126" s="1"/>
      <c r="X126" s="1"/>
    </row>
    <row r="127" spans="5:24">
      <c r="E127" s="2"/>
      <c r="G127" s="7" t="s">
        <v>570</v>
      </c>
      <c r="H127" s="7" t="s">
        <v>801</v>
      </c>
      <c r="J127" s="11" t="s">
        <v>757</v>
      </c>
      <c r="K127" s="16">
        <v>0.1</v>
      </c>
      <c r="L127" s="647" t="s">
        <v>657</v>
      </c>
      <c r="M127" s="625" t="s">
        <v>1765</v>
      </c>
      <c r="N127" s="642" t="str">
        <f t="shared" si="1"/>
        <v>京都府長岡京市</v>
      </c>
      <c r="O127" s="622">
        <v>10.7</v>
      </c>
      <c r="P127" s="625">
        <v>10.55</v>
      </c>
      <c r="Q127" s="658">
        <v>10.45</v>
      </c>
      <c r="T127" s="1"/>
      <c r="U127" s="1"/>
      <c r="V127" s="1"/>
      <c r="W127" s="1"/>
      <c r="X127" s="1"/>
    </row>
    <row r="128" spans="5:24">
      <c r="E128" s="2"/>
      <c r="G128" s="7" t="s">
        <v>570</v>
      </c>
      <c r="H128" s="7" t="s">
        <v>802</v>
      </c>
      <c r="J128" s="11" t="s">
        <v>757</v>
      </c>
      <c r="K128" s="16">
        <v>0.1</v>
      </c>
      <c r="L128" s="647" t="s">
        <v>661</v>
      </c>
      <c r="M128" s="625" t="s">
        <v>1783</v>
      </c>
      <c r="N128" s="642" t="str">
        <f t="shared" si="1"/>
        <v>大阪府堺市</v>
      </c>
      <c r="O128" s="622">
        <v>10.7</v>
      </c>
      <c r="P128" s="625">
        <v>10.55</v>
      </c>
      <c r="Q128" s="658">
        <v>10.45</v>
      </c>
      <c r="T128" s="1"/>
      <c r="U128" s="1"/>
      <c r="V128" s="1"/>
      <c r="W128" s="1"/>
      <c r="X128" s="1"/>
    </row>
    <row r="129" spans="5:24">
      <c r="E129" s="2"/>
      <c r="G129" s="7" t="s">
        <v>570</v>
      </c>
      <c r="H129" s="7" t="s">
        <v>803</v>
      </c>
      <c r="J129" s="11" t="s">
        <v>757</v>
      </c>
      <c r="K129" s="16">
        <v>0.1</v>
      </c>
      <c r="L129" s="647" t="s">
        <v>661</v>
      </c>
      <c r="M129" s="625" t="s">
        <v>1792</v>
      </c>
      <c r="N129" s="642" t="str">
        <f t="shared" si="1"/>
        <v>大阪府枚方市</v>
      </c>
      <c r="O129" s="622">
        <v>10.7</v>
      </c>
      <c r="P129" s="625">
        <v>10.55</v>
      </c>
      <c r="Q129" s="658">
        <v>10.45</v>
      </c>
      <c r="T129" s="1"/>
      <c r="U129" s="1"/>
      <c r="V129" s="1"/>
      <c r="W129" s="1"/>
      <c r="X129" s="1"/>
    </row>
    <row r="130" spans="5:24">
      <c r="E130" s="2"/>
      <c r="G130" s="7" t="s">
        <v>570</v>
      </c>
      <c r="H130" s="7" t="s">
        <v>804</v>
      </c>
      <c r="J130" s="11" t="s">
        <v>757</v>
      </c>
      <c r="K130" s="16">
        <v>0.1</v>
      </c>
      <c r="L130" s="647" t="s">
        <v>661</v>
      </c>
      <c r="M130" s="625" t="s">
        <v>1793</v>
      </c>
      <c r="N130" s="642" t="str">
        <f t="shared" si="1"/>
        <v>大阪府茨木市</v>
      </c>
      <c r="O130" s="622">
        <v>10.7</v>
      </c>
      <c r="P130" s="625">
        <v>10.55</v>
      </c>
      <c r="Q130" s="658">
        <v>10.45</v>
      </c>
      <c r="T130" s="1"/>
      <c r="U130" s="1"/>
      <c r="V130" s="1"/>
      <c r="W130" s="1"/>
      <c r="X130" s="1"/>
    </row>
    <row r="131" spans="5:24">
      <c r="E131" s="2"/>
      <c r="G131" s="7" t="s">
        <v>570</v>
      </c>
      <c r="H131" s="7" t="s">
        <v>805</v>
      </c>
      <c r="J131" s="11" t="s">
        <v>757</v>
      </c>
      <c r="K131" s="16">
        <v>0.1</v>
      </c>
      <c r="L131" s="647" t="s">
        <v>661</v>
      </c>
      <c r="M131" s="625" t="s">
        <v>1794</v>
      </c>
      <c r="N131" s="642" t="str">
        <f t="shared" si="1"/>
        <v>大阪府八尾市</v>
      </c>
      <c r="O131" s="622">
        <v>10.7</v>
      </c>
      <c r="P131" s="625">
        <v>10.55</v>
      </c>
      <c r="Q131" s="658">
        <v>10.45</v>
      </c>
      <c r="T131" s="1"/>
      <c r="U131" s="1"/>
      <c r="V131" s="1"/>
      <c r="W131" s="1"/>
      <c r="X131" s="1"/>
    </row>
    <row r="132" spans="5:24">
      <c r="E132" s="2"/>
      <c r="G132" s="7" t="s">
        <v>570</v>
      </c>
      <c r="H132" s="7" t="s">
        <v>806</v>
      </c>
      <c r="J132" s="11" t="s">
        <v>757</v>
      </c>
      <c r="K132" s="16">
        <v>0.1</v>
      </c>
      <c r="L132" s="647" t="s">
        <v>661</v>
      </c>
      <c r="M132" s="625" t="s">
        <v>1799</v>
      </c>
      <c r="N132" s="642" t="str">
        <f t="shared" ref="N132:N195" si="2">L132&amp;M132</f>
        <v>大阪府松原市</v>
      </c>
      <c r="O132" s="622">
        <v>10.7</v>
      </c>
      <c r="P132" s="625">
        <v>10.55</v>
      </c>
      <c r="Q132" s="658">
        <v>10.45</v>
      </c>
      <c r="T132" s="1"/>
      <c r="U132" s="1"/>
      <c r="V132" s="1"/>
      <c r="W132" s="1"/>
      <c r="X132" s="1"/>
    </row>
    <row r="133" spans="5:24">
      <c r="E133" s="2"/>
      <c r="G133" s="7" t="s">
        <v>570</v>
      </c>
      <c r="H133" s="7" t="s">
        <v>807</v>
      </c>
      <c r="J133" s="11" t="s">
        <v>757</v>
      </c>
      <c r="K133" s="16">
        <v>0.1</v>
      </c>
      <c r="L133" s="647" t="s">
        <v>661</v>
      </c>
      <c r="M133" s="625" t="s">
        <v>1806</v>
      </c>
      <c r="N133" s="642" t="str">
        <f t="shared" si="2"/>
        <v>大阪府摂津市</v>
      </c>
      <c r="O133" s="622">
        <v>10.7</v>
      </c>
      <c r="P133" s="625">
        <v>10.55</v>
      </c>
      <c r="Q133" s="658">
        <v>10.45</v>
      </c>
      <c r="T133" s="1"/>
      <c r="U133" s="1"/>
      <c r="V133" s="1"/>
      <c r="W133" s="1"/>
      <c r="X133" s="1"/>
    </row>
    <row r="134" spans="5:24">
      <c r="E134" s="2"/>
      <c r="G134" s="7" t="s">
        <v>570</v>
      </c>
      <c r="H134" s="7" t="s">
        <v>808</v>
      </c>
      <c r="J134" s="11" t="s">
        <v>757</v>
      </c>
      <c r="K134" s="16">
        <v>0.1</v>
      </c>
      <c r="L134" s="647" t="s">
        <v>661</v>
      </c>
      <c r="M134" s="625" t="s">
        <v>1807</v>
      </c>
      <c r="N134" s="642" t="str">
        <f t="shared" si="2"/>
        <v>大阪府高石市</v>
      </c>
      <c r="O134" s="622">
        <v>10.7</v>
      </c>
      <c r="P134" s="625">
        <v>10.55</v>
      </c>
      <c r="Q134" s="658">
        <v>10.45</v>
      </c>
      <c r="T134" s="1"/>
      <c r="U134" s="1"/>
      <c r="V134" s="1"/>
      <c r="W134" s="1"/>
      <c r="X134" s="1"/>
    </row>
    <row r="135" spans="5:24">
      <c r="E135" s="2"/>
      <c r="G135" s="7" t="s">
        <v>570</v>
      </c>
      <c r="H135" s="7" t="s">
        <v>809</v>
      </c>
      <c r="J135" s="11" t="s">
        <v>757</v>
      </c>
      <c r="K135" s="16">
        <v>0.1</v>
      </c>
      <c r="L135" s="647" t="s">
        <v>661</v>
      </c>
      <c r="M135" s="625" t="s">
        <v>1809</v>
      </c>
      <c r="N135" s="642" t="str">
        <f t="shared" si="2"/>
        <v>大阪府東大阪市</v>
      </c>
      <c r="O135" s="622">
        <v>10.7</v>
      </c>
      <c r="P135" s="625">
        <v>10.55</v>
      </c>
      <c r="Q135" s="658">
        <v>10.45</v>
      </c>
      <c r="T135" s="1"/>
      <c r="U135" s="1"/>
      <c r="V135" s="1"/>
      <c r="W135" s="1"/>
      <c r="X135" s="1"/>
    </row>
    <row r="136" spans="5:24">
      <c r="E136" s="2"/>
      <c r="G136" s="7" t="s">
        <v>570</v>
      </c>
      <c r="H136" s="7" t="s">
        <v>811</v>
      </c>
      <c r="J136" s="11" t="s">
        <v>757</v>
      </c>
      <c r="K136" s="16">
        <v>0.1</v>
      </c>
      <c r="L136" s="647" t="s">
        <v>661</v>
      </c>
      <c r="M136" s="625" t="s">
        <v>1812</v>
      </c>
      <c r="N136" s="642" t="str">
        <f t="shared" si="2"/>
        <v>大阪府交野市</v>
      </c>
      <c r="O136" s="622">
        <v>10.7</v>
      </c>
      <c r="P136" s="625">
        <v>10.55</v>
      </c>
      <c r="Q136" s="658">
        <v>10.45</v>
      </c>
      <c r="T136" s="1"/>
      <c r="U136" s="1"/>
      <c r="V136" s="1"/>
      <c r="W136" s="1"/>
      <c r="X136" s="1"/>
    </row>
    <row r="137" spans="5:24">
      <c r="E137" s="2"/>
      <c r="G137" s="7" t="s">
        <v>570</v>
      </c>
      <c r="H137" s="7" t="s">
        <v>812</v>
      </c>
      <c r="J137" s="11" t="s">
        <v>757</v>
      </c>
      <c r="K137" s="16">
        <v>0.1</v>
      </c>
      <c r="L137" s="647" t="s">
        <v>665</v>
      </c>
      <c r="M137" s="625" t="s">
        <v>1827</v>
      </c>
      <c r="N137" s="642" t="str">
        <f t="shared" si="2"/>
        <v>兵庫県尼崎市</v>
      </c>
      <c r="O137" s="622">
        <v>10.7</v>
      </c>
      <c r="P137" s="625">
        <v>10.55</v>
      </c>
      <c r="Q137" s="658">
        <v>10.45</v>
      </c>
      <c r="T137" s="1"/>
      <c r="U137" s="1"/>
      <c r="V137" s="1"/>
      <c r="W137" s="1"/>
      <c r="X137" s="1"/>
    </row>
    <row r="138" spans="5:24">
      <c r="E138" s="2"/>
      <c r="G138" s="7" t="s">
        <v>570</v>
      </c>
      <c r="H138" s="7" t="s">
        <v>813</v>
      </c>
      <c r="J138" s="11" t="s">
        <v>757</v>
      </c>
      <c r="K138" s="16">
        <v>0.1</v>
      </c>
      <c r="L138" s="647" t="s">
        <v>665</v>
      </c>
      <c r="M138" s="625" t="s">
        <v>1832</v>
      </c>
      <c r="N138" s="642" t="str">
        <f t="shared" si="2"/>
        <v>兵庫県伊丹市</v>
      </c>
      <c r="O138" s="622">
        <v>10.7</v>
      </c>
      <c r="P138" s="625">
        <v>10.55</v>
      </c>
      <c r="Q138" s="658">
        <v>10.45</v>
      </c>
      <c r="T138" s="1"/>
      <c r="U138" s="1"/>
      <c r="V138" s="1"/>
      <c r="W138" s="1"/>
      <c r="X138" s="1"/>
    </row>
    <row r="139" spans="5:24">
      <c r="E139" s="2"/>
      <c r="G139" s="7" t="s">
        <v>570</v>
      </c>
      <c r="H139" s="7" t="s">
        <v>814</v>
      </c>
      <c r="J139" s="11" t="s">
        <v>757</v>
      </c>
      <c r="K139" s="16">
        <v>0.1</v>
      </c>
      <c r="L139" s="647" t="s">
        <v>665</v>
      </c>
      <c r="M139" s="625" t="s">
        <v>1841</v>
      </c>
      <c r="N139" s="642" t="str">
        <f t="shared" si="2"/>
        <v>兵庫県川西市</v>
      </c>
      <c r="O139" s="622">
        <v>10.7</v>
      </c>
      <c r="P139" s="625">
        <v>10.55</v>
      </c>
      <c r="Q139" s="658">
        <v>10.45</v>
      </c>
      <c r="T139" s="1"/>
      <c r="U139" s="1"/>
      <c r="V139" s="1"/>
      <c r="W139" s="1"/>
      <c r="X139" s="1"/>
    </row>
    <row r="140" spans="5:24">
      <c r="E140" s="2"/>
      <c r="G140" s="7" t="s">
        <v>570</v>
      </c>
      <c r="H140" s="7" t="s">
        <v>815</v>
      </c>
      <c r="J140" s="11" t="s">
        <v>757</v>
      </c>
      <c r="K140" s="16">
        <v>0.1</v>
      </c>
      <c r="L140" s="647" t="s">
        <v>665</v>
      </c>
      <c r="M140" s="625" t="s">
        <v>1843</v>
      </c>
      <c r="N140" s="642" t="str">
        <f t="shared" si="2"/>
        <v>兵庫県三田市</v>
      </c>
      <c r="O140" s="622">
        <v>10.7</v>
      </c>
      <c r="P140" s="625">
        <v>10.55</v>
      </c>
      <c r="Q140" s="658">
        <v>10.45</v>
      </c>
      <c r="T140" s="1"/>
      <c r="U140" s="1"/>
      <c r="V140" s="1"/>
      <c r="W140" s="1"/>
      <c r="X140" s="1"/>
    </row>
    <row r="141" spans="5:24">
      <c r="E141" s="2"/>
      <c r="G141" s="7" t="s">
        <v>570</v>
      </c>
      <c r="H141" s="7" t="s">
        <v>816</v>
      </c>
      <c r="J141" s="11" t="s">
        <v>757</v>
      </c>
      <c r="K141" s="16">
        <v>0.1</v>
      </c>
      <c r="L141" s="647" t="s">
        <v>685</v>
      </c>
      <c r="M141" s="625" t="s">
        <v>1992</v>
      </c>
      <c r="N141" s="642" t="str">
        <f t="shared" si="2"/>
        <v>広島県広島市</v>
      </c>
      <c r="O141" s="622">
        <v>10.7</v>
      </c>
      <c r="P141" s="625">
        <v>10.55</v>
      </c>
      <c r="Q141" s="658">
        <v>10.45</v>
      </c>
      <c r="T141" s="1"/>
      <c r="U141" s="1"/>
      <c r="V141" s="1"/>
      <c r="W141" s="1"/>
      <c r="X141" s="1"/>
    </row>
    <row r="142" spans="5:24">
      <c r="E142" s="2"/>
      <c r="G142" s="7" t="s">
        <v>570</v>
      </c>
      <c r="H142" s="7" t="s">
        <v>817</v>
      </c>
      <c r="J142" s="11" t="s">
        <v>757</v>
      </c>
      <c r="K142" s="16">
        <v>0.1</v>
      </c>
      <c r="L142" s="647" t="s">
        <v>685</v>
      </c>
      <c r="M142" s="625" t="s">
        <v>2005</v>
      </c>
      <c r="N142" s="642" t="str">
        <f t="shared" si="2"/>
        <v>広島県府中町</v>
      </c>
      <c r="O142" s="622">
        <v>10.7</v>
      </c>
      <c r="P142" s="625">
        <v>10.55</v>
      </c>
      <c r="Q142" s="658">
        <v>10.45</v>
      </c>
      <c r="T142" s="1"/>
      <c r="U142" s="1"/>
      <c r="V142" s="1"/>
      <c r="W142" s="1"/>
      <c r="X142" s="1"/>
    </row>
    <row r="143" spans="5:24">
      <c r="E143" s="2"/>
      <c r="G143" s="7" t="s">
        <v>570</v>
      </c>
      <c r="H143" s="7" t="s">
        <v>818</v>
      </c>
      <c r="J143" s="11" t="s">
        <v>757</v>
      </c>
      <c r="K143" s="16">
        <v>0.1</v>
      </c>
      <c r="L143" s="647" t="s">
        <v>704</v>
      </c>
      <c r="M143" s="625" t="s">
        <v>2435</v>
      </c>
      <c r="N143" s="642" t="str">
        <f t="shared" si="2"/>
        <v>福岡県福岡市</v>
      </c>
      <c r="O143" s="622">
        <v>10.7</v>
      </c>
      <c r="P143" s="625">
        <v>10.55</v>
      </c>
      <c r="Q143" s="658">
        <v>10.45</v>
      </c>
      <c r="T143" s="1"/>
      <c r="U143" s="1"/>
      <c r="V143" s="1"/>
      <c r="W143" s="1"/>
      <c r="X143" s="1"/>
    </row>
    <row r="144" spans="5:24" ht="13.8" thickBot="1">
      <c r="E144" s="2"/>
      <c r="G144" s="7" t="s">
        <v>570</v>
      </c>
      <c r="H144" s="7" t="s">
        <v>819</v>
      </c>
      <c r="J144" s="12" t="s">
        <v>757</v>
      </c>
      <c r="K144" s="631">
        <v>0.1</v>
      </c>
      <c r="L144" s="659" t="s">
        <v>704</v>
      </c>
      <c r="M144" s="628" t="s">
        <v>2436</v>
      </c>
      <c r="N144" s="667" t="str">
        <f t="shared" si="2"/>
        <v>福岡県春日市</v>
      </c>
      <c r="O144" s="627">
        <v>10.7</v>
      </c>
      <c r="P144" s="628">
        <v>10.55</v>
      </c>
      <c r="Q144" s="660">
        <v>10.45</v>
      </c>
      <c r="T144" s="1"/>
      <c r="U144" s="1"/>
      <c r="V144" s="1"/>
      <c r="W144" s="1"/>
      <c r="X144" s="1"/>
    </row>
    <row r="145" spans="5:24">
      <c r="E145" s="2"/>
      <c r="G145" s="7" t="s">
        <v>570</v>
      </c>
      <c r="H145" s="7" t="s">
        <v>820</v>
      </c>
      <c r="J145" s="619" t="s">
        <v>810</v>
      </c>
      <c r="K145" s="649">
        <v>0.06</v>
      </c>
      <c r="L145" s="654" t="s">
        <v>587</v>
      </c>
      <c r="M145" s="626" t="s">
        <v>936</v>
      </c>
      <c r="N145" s="662" t="str">
        <f t="shared" si="2"/>
        <v>宮城県仙台市</v>
      </c>
      <c r="O145" s="621">
        <v>10.42</v>
      </c>
      <c r="P145" s="626">
        <v>10.33</v>
      </c>
      <c r="Q145" s="662">
        <v>10.27</v>
      </c>
      <c r="T145" s="1"/>
      <c r="U145" s="1"/>
      <c r="V145" s="1"/>
      <c r="W145" s="1"/>
      <c r="X145" s="1"/>
    </row>
    <row r="146" spans="5:24">
      <c r="E146" s="2"/>
      <c r="G146" s="7" t="s">
        <v>570</v>
      </c>
      <c r="H146" s="7" t="s">
        <v>821</v>
      </c>
      <c r="J146" s="11" t="s">
        <v>810</v>
      </c>
      <c r="K146" s="16">
        <v>0.06</v>
      </c>
      <c r="L146" s="647" t="s">
        <v>587</v>
      </c>
      <c r="M146" s="625" t="s">
        <v>2437</v>
      </c>
      <c r="N146" s="658" t="str">
        <f t="shared" si="2"/>
        <v>宮城県多賀城市</v>
      </c>
      <c r="O146" s="622">
        <v>10.42</v>
      </c>
      <c r="P146" s="625">
        <v>10.33</v>
      </c>
      <c r="Q146" s="658">
        <v>10.27</v>
      </c>
      <c r="T146" s="1"/>
      <c r="U146" s="1"/>
      <c r="V146" s="1"/>
      <c r="W146" s="1"/>
      <c r="X146" s="1"/>
    </row>
    <row r="147" spans="5:24">
      <c r="E147" s="2"/>
      <c r="G147" s="7" t="s">
        <v>570</v>
      </c>
      <c r="H147" s="7" t="s">
        <v>822</v>
      </c>
      <c r="J147" s="11" t="s">
        <v>810</v>
      </c>
      <c r="K147" s="16">
        <v>0.06</v>
      </c>
      <c r="L147" s="647" t="s">
        <v>603</v>
      </c>
      <c r="M147" s="625" t="s">
        <v>1091</v>
      </c>
      <c r="N147" s="658" t="str">
        <f t="shared" si="2"/>
        <v>茨城県土浦市</v>
      </c>
      <c r="O147" s="622">
        <v>10.42</v>
      </c>
      <c r="P147" s="625">
        <v>10.33</v>
      </c>
      <c r="Q147" s="658">
        <v>10.27</v>
      </c>
      <c r="T147" s="1"/>
      <c r="U147" s="1"/>
      <c r="V147" s="1"/>
      <c r="W147" s="1"/>
      <c r="X147" s="1"/>
    </row>
    <row r="148" spans="5:24">
      <c r="E148" s="2"/>
      <c r="G148" s="7" t="s">
        <v>570</v>
      </c>
      <c r="H148" s="7" t="s">
        <v>823</v>
      </c>
      <c r="J148" s="11" t="s">
        <v>810</v>
      </c>
      <c r="K148" s="16">
        <v>0.06</v>
      </c>
      <c r="L148" s="647" t="s">
        <v>603</v>
      </c>
      <c r="M148" s="625" t="s">
        <v>1092</v>
      </c>
      <c r="N148" s="658" t="str">
        <f t="shared" si="2"/>
        <v>茨城県古河市</v>
      </c>
      <c r="O148" s="622">
        <v>10.42</v>
      </c>
      <c r="P148" s="625">
        <v>10.33</v>
      </c>
      <c r="Q148" s="658">
        <v>10.27</v>
      </c>
      <c r="T148" s="1"/>
      <c r="U148" s="1"/>
      <c r="V148" s="1"/>
      <c r="W148" s="1"/>
      <c r="X148" s="1"/>
    </row>
    <row r="149" spans="5:24">
      <c r="E149" s="2"/>
      <c r="G149" s="7" t="s">
        <v>570</v>
      </c>
      <c r="H149" s="7" t="s">
        <v>824</v>
      </c>
      <c r="J149" s="11" t="s">
        <v>810</v>
      </c>
      <c r="K149" s="16">
        <v>0.06</v>
      </c>
      <c r="L149" s="647" t="s">
        <v>603</v>
      </c>
      <c r="M149" s="625" t="s">
        <v>1133</v>
      </c>
      <c r="N149" s="658" t="str">
        <f t="shared" si="2"/>
        <v>茨城県利根町</v>
      </c>
      <c r="O149" s="622">
        <v>10.42</v>
      </c>
      <c r="P149" s="625">
        <v>10.33</v>
      </c>
      <c r="Q149" s="658">
        <v>10.27</v>
      </c>
      <c r="T149" s="1"/>
      <c r="U149" s="1"/>
      <c r="V149" s="1"/>
      <c r="W149" s="1"/>
      <c r="X149" s="1"/>
    </row>
    <row r="150" spans="5:24">
      <c r="E150" s="2"/>
      <c r="G150" s="7" t="s">
        <v>570</v>
      </c>
      <c r="H150" s="7" t="s">
        <v>825</v>
      </c>
      <c r="J150" s="11" t="s">
        <v>810</v>
      </c>
      <c r="K150" s="16">
        <v>0.06</v>
      </c>
      <c r="L150" s="647" t="s">
        <v>606</v>
      </c>
      <c r="M150" s="625" t="s">
        <v>1134</v>
      </c>
      <c r="N150" s="658" t="str">
        <f t="shared" si="2"/>
        <v>栃木県宇都宮市</v>
      </c>
      <c r="O150" s="622">
        <v>10.42</v>
      </c>
      <c r="P150" s="625">
        <v>10.33</v>
      </c>
      <c r="Q150" s="658">
        <v>10.27</v>
      </c>
      <c r="T150" s="1"/>
      <c r="U150" s="1"/>
      <c r="V150" s="1"/>
      <c r="W150" s="1"/>
      <c r="X150" s="1"/>
    </row>
    <row r="151" spans="5:24">
      <c r="E151" s="2"/>
      <c r="G151" s="7" t="s">
        <v>570</v>
      </c>
      <c r="H151" s="7" t="s">
        <v>826</v>
      </c>
      <c r="J151" s="11" t="s">
        <v>810</v>
      </c>
      <c r="K151" s="16">
        <v>0.06</v>
      </c>
      <c r="L151" s="647" t="s">
        <v>606</v>
      </c>
      <c r="M151" s="625" t="s">
        <v>1154</v>
      </c>
      <c r="N151" s="658" t="str">
        <f t="shared" si="2"/>
        <v>栃木県野木町</v>
      </c>
      <c r="O151" s="622">
        <v>10.42</v>
      </c>
      <c r="P151" s="625">
        <v>10.33</v>
      </c>
      <c r="Q151" s="658">
        <v>10.27</v>
      </c>
      <c r="T151" s="1"/>
      <c r="U151" s="1"/>
      <c r="V151" s="1"/>
      <c r="W151" s="1"/>
      <c r="X151" s="1"/>
    </row>
    <row r="152" spans="5:24">
      <c r="E152" s="2"/>
      <c r="G152" s="7" t="s">
        <v>570</v>
      </c>
      <c r="H152" s="7" t="s">
        <v>827</v>
      </c>
      <c r="J152" s="11" t="s">
        <v>810</v>
      </c>
      <c r="K152" s="16">
        <v>0.06</v>
      </c>
      <c r="L152" s="647" t="s">
        <v>609</v>
      </c>
      <c r="M152" s="625" t="s">
        <v>1160</v>
      </c>
      <c r="N152" s="658" t="str">
        <f t="shared" si="2"/>
        <v>群馬県高崎市</v>
      </c>
      <c r="O152" s="622">
        <v>10.42</v>
      </c>
      <c r="P152" s="625">
        <v>10.33</v>
      </c>
      <c r="Q152" s="658">
        <v>10.27</v>
      </c>
      <c r="T152" s="1"/>
      <c r="U152" s="1"/>
      <c r="V152" s="1"/>
      <c r="W152" s="1"/>
      <c r="X152" s="1"/>
    </row>
    <row r="153" spans="5:24">
      <c r="E153" s="2"/>
      <c r="G153" s="7" t="s">
        <v>570</v>
      </c>
      <c r="H153" s="7" t="s">
        <v>828</v>
      </c>
      <c r="J153" s="11" t="s">
        <v>810</v>
      </c>
      <c r="K153" s="16">
        <v>0.06</v>
      </c>
      <c r="L153" s="647" t="s">
        <v>611</v>
      </c>
      <c r="M153" s="625" t="s">
        <v>1194</v>
      </c>
      <c r="N153" s="658" t="str">
        <f t="shared" si="2"/>
        <v>埼玉県川越市</v>
      </c>
      <c r="O153" s="622">
        <v>10.42</v>
      </c>
      <c r="P153" s="625">
        <v>10.33</v>
      </c>
      <c r="Q153" s="658">
        <v>10.27</v>
      </c>
      <c r="T153" s="1"/>
      <c r="U153" s="1"/>
      <c r="V153" s="1"/>
      <c r="W153" s="1"/>
      <c r="X153" s="1"/>
    </row>
    <row r="154" spans="5:24">
      <c r="E154" s="2"/>
      <c r="G154" s="7" t="s">
        <v>570</v>
      </c>
      <c r="H154" s="7" t="s">
        <v>829</v>
      </c>
      <c r="J154" s="11" t="s">
        <v>810</v>
      </c>
      <c r="K154" s="16">
        <v>0.06</v>
      </c>
      <c r="L154" s="647" t="s">
        <v>611</v>
      </c>
      <c r="M154" s="625" t="s">
        <v>1197</v>
      </c>
      <c r="N154" s="658" t="str">
        <f t="shared" si="2"/>
        <v>埼玉県行田市</v>
      </c>
      <c r="O154" s="622">
        <v>10.42</v>
      </c>
      <c r="P154" s="625">
        <v>10.33</v>
      </c>
      <c r="Q154" s="658">
        <v>10.27</v>
      </c>
      <c r="T154" s="1"/>
      <c r="U154" s="1"/>
      <c r="V154" s="1"/>
      <c r="W154" s="1"/>
      <c r="X154" s="1"/>
    </row>
    <row r="155" spans="5:24">
      <c r="E155" s="2"/>
      <c r="G155" s="7" t="s">
        <v>570</v>
      </c>
      <c r="H155" s="7" t="s">
        <v>830</v>
      </c>
      <c r="J155" s="11" t="s">
        <v>810</v>
      </c>
      <c r="K155" s="16">
        <v>0.06</v>
      </c>
      <c r="L155" s="647" t="s">
        <v>611</v>
      </c>
      <c r="M155" s="625" t="s">
        <v>1199</v>
      </c>
      <c r="N155" s="658" t="str">
        <f t="shared" si="2"/>
        <v>埼玉県所沢市</v>
      </c>
      <c r="O155" s="622">
        <v>10.42</v>
      </c>
      <c r="P155" s="625">
        <v>10.33</v>
      </c>
      <c r="Q155" s="658">
        <v>10.27</v>
      </c>
      <c r="T155" s="1"/>
      <c r="U155" s="1"/>
      <c r="V155" s="1"/>
      <c r="W155" s="1"/>
      <c r="X155" s="1"/>
    </row>
    <row r="156" spans="5:24">
      <c r="E156" s="2"/>
      <c r="G156" s="7" t="s">
        <v>570</v>
      </c>
      <c r="H156" s="7" t="s">
        <v>831</v>
      </c>
      <c r="J156" s="11" t="s">
        <v>810</v>
      </c>
      <c r="K156" s="16">
        <v>0.06</v>
      </c>
      <c r="L156" s="647" t="s">
        <v>611</v>
      </c>
      <c r="M156" s="625" t="s">
        <v>2438</v>
      </c>
      <c r="N156" s="658" t="str">
        <f t="shared" si="2"/>
        <v>埼玉県飯能市</v>
      </c>
      <c r="O156" s="622">
        <v>10.42</v>
      </c>
      <c r="P156" s="625">
        <v>10.33</v>
      </c>
      <c r="Q156" s="658">
        <v>10.27</v>
      </c>
      <c r="T156" s="1"/>
      <c r="U156" s="1"/>
      <c r="V156" s="1"/>
      <c r="W156" s="1"/>
      <c r="X156" s="1"/>
    </row>
    <row r="157" spans="5:24">
      <c r="E157" s="2"/>
      <c r="G157" s="7" t="s">
        <v>570</v>
      </c>
      <c r="H157" s="7" t="s">
        <v>832</v>
      </c>
      <c r="J157" s="11" t="s">
        <v>810</v>
      </c>
      <c r="K157" s="16">
        <v>0.06</v>
      </c>
      <c r="L157" s="647" t="s">
        <v>611</v>
      </c>
      <c r="M157" s="625" t="s">
        <v>1201</v>
      </c>
      <c r="N157" s="658" t="str">
        <f t="shared" si="2"/>
        <v>埼玉県加須市</v>
      </c>
      <c r="O157" s="622">
        <v>10.42</v>
      </c>
      <c r="P157" s="625">
        <v>10.33</v>
      </c>
      <c r="Q157" s="658">
        <v>10.27</v>
      </c>
      <c r="T157" s="1"/>
      <c r="U157" s="1"/>
      <c r="V157" s="1"/>
      <c r="W157" s="1"/>
      <c r="X157" s="1"/>
    </row>
    <row r="158" spans="5:24">
      <c r="E158" s="2"/>
      <c r="G158" s="7" t="s">
        <v>570</v>
      </c>
      <c r="H158" s="7" t="s">
        <v>833</v>
      </c>
      <c r="J158" s="11" t="s">
        <v>810</v>
      </c>
      <c r="K158" s="16">
        <v>0.06</v>
      </c>
      <c r="L158" s="647" t="s">
        <v>611</v>
      </c>
      <c r="M158" s="625" t="s">
        <v>1203</v>
      </c>
      <c r="N158" s="658" t="str">
        <f t="shared" si="2"/>
        <v>埼玉県東松山市</v>
      </c>
      <c r="O158" s="622">
        <v>10.42</v>
      </c>
      <c r="P158" s="625">
        <v>10.33</v>
      </c>
      <c r="Q158" s="658">
        <v>10.27</v>
      </c>
      <c r="T158" s="1"/>
      <c r="U158" s="1"/>
      <c r="V158" s="1"/>
      <c r="W158" s="1"/>
      <c r="X158" s="1"/>
    </row>
    <row r="159" spans="5:24">
      <c r="E159" s="2"/>
      <c r="G159" s="7" t="s">
        <v>570</v>
      </c>
      <c r="H159" s="7" t="s">
        <v>834</v>
      </c>
      <c r="J159" s="11" t="s">
        <v>810</v>
      </c>
      <c r="K159" s="16">
        <v>0.06</v>
      </c>
      <c r="L159" s="647" t="s">
        <v>611</v>
      </c>
      <c r="M159" s="625" t="s">
        <v>1204</v>
      </c>
      <c r="N159" s="658" t="str">
        <f t="shared" si="2"/>
        <v>埼玉県春日部市</v>
      </c>
      <c r="O159" s="622">
        <v>10.42</v>
      </c>
      <c r="P159" s="625">
        <v>10.33</v>
      </c>
      <c r="Q159" s="658">
        <v>10.27</v>
      </c>
      <c r="T159" s="1"/>
      <c r="U159" s="1"/>
      <c r="V159" s="1"/>
      <c r="W159" s="1"/>
      <c r="X159" s="1"/>
    </row>
    <row r="160" spans="5:24">
      <c r="E160" s="2"/>
      <c r="G160" s="7" t="s">
        <v>570</v>
      </c>
      <c r="H160" s="7" t="s">
        <v>835</v>
      </c>
      <c r="J160" s="11" t="s">
        <v>810</v>
      </c>
      <c r="K160" s="16">
        <v>0.06</v>
      </c>
      <c r="L160" s="647" t="s">
        <v>611</v>
      </c>
      <c r="M160" s="625" t="s">
        <v>1205</v>
      </c>
      <c r="N160" s="658" t="str">
        <f t="shared" si="2"/>
        <v>埼玉県狭山市</v>
      </c>
      <c r="O160" s="622">
        <v>10.42</v>
      </c>
      <c r="P160" s="625">
        <v>10.33</v>
      </c>
      <c r="Q160" s="658">
        <v>10.27</v>
      </c>
      <c r="T160" s="1"/>
      <c r="U160" s="1"/>
      <c r="V160" s="1"/>
      <c r="W160" s="1"/>
      <c r="X160" s="1"/>
    </row>
    <row r="161" spans="5:24">
      <c r="E161" s="2"/>
      <c r="G161" s="7" t="s">
        <v>570</v>
      </c>
      <c r="H161" s="7" t="s">
        <v>836</v>
      </c>
      <c r="J161" s="11" t="s">
        <v>810</v>
      </c>
      <c r="K161" s="16">
        <v>0.06</v>
      </c>
      <c r="L161" s="647" t="s">
        <v>611</v>
      </c>
      <c r="M161" s="625" t="s">
        <v>1206</v>
      </c>
      <c r="N161" s="658" t="str">
        <f t="shared" si="2"/>
        <v>埼玉県羽生市</v>
      </c>
      <c r="O161" s="622">
        <v>10.42</v>
      </c>
      <c r="P161" s="625">
        <v>10.33</v>
      </c>
      <c r="Q161" s="658">
        <v>10.27</v>
      </c>
      <c r="T161" s="1"/>
      <c r="U161" s="1"/>
      <c r="V161" s="1"/>
      <c r="W161" s="1"/>
      <c r="X161" s="1"/>
    </row>
    <row r="162" spans="5:24">
      <c r="E162" s="2"/>
      <c r="G162" s="7" t="s">
        <v>570</v>
      </c>
      <c r="H162" s="7" t="s">
        <v>837</v>
      </c>
      <c r="J162" s="11" t="s">
        <v>810</v>
      </c>
      <c r="K162" s="16">
        <v>0.06</v>
      </c>
      <c r="L162" s="647" t="s">
        <v>611</v>
      </c>
      <c r="M162" s="625" t="s">
        <v>1207</v>
      </c>
      <c r="N162" s="658" t="str">
        <f t="shared" si="2"/>
        <v>埼玉県鴻巣市</v>
      </c>
      <c r="O162" s="622">
        <v>10.42</v>
      </c>
      <c r="P162" s="625">
        <v>10.33</v>
      </c>
      <c r="Q162" s="658">
        <v>10.27</v>
      </c>
      <c r="T162" s="1"/>
      <c r="U162" s="1"/>
      <c r="V162" s="1"/>
      <c r="W162" s="1"/>
      <c r="X162" s="1"/>
    </row>
    <row r="163" spans="5:24">
      <c r="E163" s="2"/>
      <c r="G163" s="7" t="s">
        <v>570</v>
      </c>
      <c r="H163" s="7" t="s">
        <v>838</v>
      </c>
      <c r="J163" s="11" t="s">
        <v>810</v>
      </c>
      <c r="K163" s="16">
        <v>0.06</v>
      </c>
      <c r="L163" s="647" t="s">
        <v>611</v>
      </c>
      <c r="M163" s="625" t="s">
        <v>1209</v>
      </c>
      <c r="N163" s="658" t="str">
        <f t="shared" si="2"/>
        <v>埼玉県上尾市</v>
      </c>
      <c r="O163" s="622">
        <v>10.42</v>
      </c>
      <c r="P163" s="625">
        <v>10.33</v>
      </c>
      <c r="Q163" s="658">
        <v>10.27</v>
      </c>
      <c r="T163" s="1"/>
      <c r="U163" s="1"/>
      <c r="V163" s="1"/>
      <c r="W163" s="1"/>
      <c r="X163" s="1"/>
    </row>
    <row r="164" spans="5:24">
      <c r="E164" s="2"/>
      <c r="G164" s="7" t="s">
        <v>570</v>
      </c>
      <c r="H164" s="7" t="s">
        <v>839</v>
      </c>
      <c r="J164" s="11" t="s">
        <v>810</v>
      </c>
      <c r="K164" s="16">
        <v>0.06</v>
      </c>
      <c r="L164" s="647" t="s">
        <v>611</v>
      </c>
      <c r="M164" s="625" t="s">
        <v>1211</v>
      </c>
      <c r="N164" s="658" t="str">
        <f t="shared" si="2"/>
        <v>埼玉県越谷市</v>
      </c>
      <c r="O164" s="622">
        <v>10.42</v>
      </c>
      <c r="P164" s="625">
        <v>10.33</v>
      </c>
      <c r="Q164" s="658">
        <v>10.27</v>
      </c>
      <c r="T164" s="1"/>
      <c r="U164" s="1"/>
      <c r="V164" s="1"/>
      <c r="W164" s="1"/>
      <c r="X164" s="1"/>
    </row>
    <row r="165" spans="5:24">
      <c r="E165" s="2"/>
      <c r="G165" s="7" t="s">
        <v>570</v>
      </c>
      <c r="H165" s="7" t="s">
        <v>840</v>
      </c>
      <c r="J165" s="11" t="s">
        <v>810</v>
      </c>
      <c r="K165" s="16">
        <v>0.06</v>
      </c>
      <c r="L165" s="647" t="s">
        <v>611</v>
      </c>
      <c r="M165" s="625" t="s">
        <v>1212</v>
      </c>
      <c r="N165" s="658" t="str">
        <f t="shared" si="2"/>
        <v>埼玉県蕨市</v>
      </c>
      <c r="O165" s="622">
        <v>10.42</v>
      </c>
      <c r="P165" s="625">
        <v>10.33</v>
      </c>
      <c r="Q165" s="658">
        <v>10.27</v>
      </c>
      <c r="T165" s="1"/>
      <c r="U165" s="1"/>
      <c r="V165" s="1"/>
      <c r="W165" s="1"/>
      <c r="X165" s="1"/>
    </row>
    <row r="166" spans="5:24">
      <c r="E166" s="2"/>
      <c r="G166" s="7" t="s">
        <v>570</v>
      </c>
      <c r="H166" s="7" t="s">
        <v>841</v>
      </c>
      <c r="J166" s="11" t="s">
        <v>810</v>
      </c>
      <c r="K166" s="16">
        <v>0.06</v>
      </c>
      <c r="L166" s="647" t="s">
        <v>611</v>
      </c>
      <c r="M166" s="625" t="s">
        <v>1214</v>
      </c>
      <c r="N166" s="658" t="str">
        <f t="shared" si="2"/>
        <v>埼玉県入間市</v>
      </c>
      <c r="O166" s="622">
        <v>10.42</v>
      </c>
      <c r="P166" s="625">
        <v>10.33</v>
      </c>
      <c r="Q166" s="658">
        <v>10.27</v>
      </c>
      <c r="T166" s="1"/>
      <c r="U166" s="1"/>
      <c r="V166" s="1"/>
      <c r="W166" s="1"/>
      <c r="X166" s="1"/>
    </row>
    <row r="167" spans="5:24">
      <c r="E167" s="2"/>
      <c r="G167" s="7" t="s">
        <v>570</v>
      </c>
      <c r="H167" s="7" t="s">
        <v>842</v>
      </c>
      <c r="J167" s="11" t="s">
        <v>810</v>
      </c>
      <c r="K167" s="16">
        <v>0.06</v>
      </c>
      <c r="L167" s="647" t="s">
        <v>611</v>
      </c>
      <c r="M167" s="625" t="s">
        <v>1219</v>
      </c>
      <c r="N167" s="658" t="str">
        <f t="shared" si="2"/>
        <v>埼玉県桶川市</v>
      </c>
      <c r="O167" s="622">
        <v>10.42</v>
      </c>
      <c r="P167" s="625">
        <v>10.33</v>
      </c>
      <c r="Q167" s="658">
        <v>10.27</v>
      </c>
      <c r="T167" s="1"/>
      <c r="U167" s="1"/>
      <c r="V167" s="1"/>
      <c r="W167" s="1"/>
      <c r="X167" s="1"/>
    </row>
    <row r="168" spans="5:24">
      <c r="E168" s="2"/>
      <c r="G168" s="7" t="s">
        <v>570</v>
      </c>
      <c r="H168" s="7" t="s">
        <v>843</v>
      </c>
      <c r="J168" s="11" t="s">
        <v>810</v>
      </c>
      <c r="K168" s="16">
        <v>0.06</v>
      </c>
      <c r="L168" s="647" t="s">
        <v>611</v>
      </c>
      <c r="M168" s="625" t="s">
        <v>1220</v>
      </c>
      <c r="N168" s="658" t="str">
        <f t="shared" si="2"/>
        <v>埼玉県久喜市</v>
      </c>
      <c r="O168" s="622">
        <v>10.42</v>
      </c>
      <c r="P168" s="625">
        <v>10.33</v>
      </c>
      <c r="Q168" s="658">
        <v>10.27</v>
      </c>
      <c r="T168" s="1"/>
      <c r="U168" s="1"/>
      <c r="V168" s="1"/>
      <c r="W168" s="1"/>
      <c r="X168" s="1"/>
    </row>
    <row r="169" spans="5:24">
      <c r="E169" s="2"/>
      <c r="G169" s="7" t="s">
        <v>570</v>
      </c>
      <c r="H169" s="7" t="s">
        <v>844</v>
      </c>
      <c r="J169" s="11" t="s">
        <v>810</v>
      </c>
      <c r="K169" s="16">
        <v>0.06</v>
      </c>
      <c r="L169" s="647" t="s">
        <v>611</v>
      </c>
      <c r="M169" s="625" t="s">
        <v>1221</v>
      </c>
      <c r="N169" s="658" t="str">
        <f t="shared" si="2"/>
        <v>埼玉県北本市</v>
      </c>
      <c r="O169" s="622">
        <v>10.42</v>
      </c>
      <c r="P169" s="625">
        <v>10.33</v>
      </c>
      <c r="Q169" s="658">
        <v>10.27</v>
      </c>
      <c r="T169" s="1"/>
      <c r="U169" s="1"/>
      <c r="V169" s="1"/>
      <c r="W169" s="1"/>
      <c r="X169" s="1"/>
    </row>
    <row r="170" spans="5:24">
      <c r="E170" s="2"/>
      <c r="G170" s="7" t="s">
        <v>570</v>
      </c>
      <c r="H170" s="7" t="s">
        <v>845</v>
      </c>
      <c r="J170" s="11" t="s">
        <v>810</v>
      </c>
      <c r="K170" s="16">
        <v>0.06</v>
      </c>
      <c r="L170" s="647" t="s">
        <v>611</v>
      </c>
      <c r="M170" s="625" t="s">
        <v>1223</v>
      </c>
      <c r="N170" s="658" t="str">
        <f t="shared" si="2"/>
        <v>埼玉県富士見市</v>
      </c>
      <c r="O170" s="622">
        <v>10.42</v>
      </c>
      <c r="P170" s="625">
        <v>10.33</v>
      </c>
      <c r="Q170" s="658">
        <v>10.27</v>
      </c>
      <c r="T170" s="1"/>
      <c r="U170" s="1"/>
      <c r="V170" s="1"/>
      <c r="W170" s="1"/>
      <c r="X170" s="1"/>
    </row>
    <row r="171" spans="5:24">
      <c r="E171" s="2"/>
      <c r="G171" s="7" t="s">
        <v>570</v>
      </c>
      <c r="H171" s="7" t="s">
        <v>846</v>
      </c>
      <c r="J171" s="11" t="s">
        <v>810</v>
      </c>
      <c r="K171" s="16">
        <v>0.06</v>
      </c>
      <c r="L171" s="647" t="s">
        <v>611</v>
      </c>
      <c r="M171" s="625" t="s">
        <v>1224</v>
      </c>
      <c r="N171" s="658" t="str">
        <f t="shared" si="2"/>
        <v>埼玉県三郷市</v>
      </c>
      <c r="O171" s="622">
        <v>10.42</v>
      </c>
      <c r="P171" s="625">
        <v>10.33</v>
      </c>
      <c r="Q171" s="658">
        <v>10.27</v>
      </c>
      <c r="T171" s="1"/>
      <c r="U171" s="1"/>
      <c r="V171" s="1"/>
      <c r="W171" s="1"/>
      <c r="X171" s="1"/>
    </row>
    <row r="172" spans="5:24">
      <c r="E172" s="2"/>
      <c r="G172" s="7" t="s">
        <v>570</v>
      </c>
      <c r="H172" s="7" t="s">
        <v>847</v>
      </c>
      <c r="J172" s="11" t="s">
        <v>810</v>
      </c>
      <c r="K172" s="16">
        <v>0.06</v>
      </c>
      <c r="L172" s="647" t="s">
        <v>611</v>
      </c>
      <c r="M172" s="625" t="s">
        <v>1225</v>
      </c>
      <c r="N172" s="658" t="str">
        <f t="shared" si="2"/>
        <v>埼玉県蓮田市</v>
      </c>
      <c r="O172" s="622">
        <v>10.42</v>
      </c>
      <c r="P172" s="625">
        <v>10.33</v>
      </c>
      <c r="Q172" s="658">
        <v>10.27</v>
      </c>
      <c r="T172" s="1"/>
      <c r="U172" s="1"/>
      <c r="V172" s="1"/>
      <c r="W172" s="1"/>
      <c r="X172" s="1"/>
    </row>
    <row r="173" spans="5:24">
      <c r="E173" s="2"/>
      <c r="G173" s="7" t="s">
        <v>570</v>
      </c>
      <c r="H173" s="7" t="s">
        <v>848</v>
      </c>
      <c r="J173" s="11" t="s">
        <v>810</v>
      </c>
      <c r="K173" s="16">
        <v>0.06</v>
      </c>
      <c r="L173" s="647" t="s">
        <v>611</v>
      </c>
      <c r="M173" s="625" t="s">
        <v>1226</v>
      </c>
      <c r="N173" s="658" t="str">
        <f t="shared" si="2"/>
        <v>埼玉県坂戸市</v>
      </c>
      <c r="O173" s="622">
        <v>10.42</v>
      </c>
      <c r="P173" s="625">
        <v>10.33</v>
      </c>
      <c r="Q173" s="658">
        <v>10.27</v>
      </c>
      <c r="T173" s="1"/>
      <c r="U173" s="1"/>
      <c r="V173" s="1"/>
      <c r="W173" s="1"/>
      <c r="X173" s="1"/>
    </row>
    <row r="174" spans="5:24">
      <c r="E174" s="2"/>
      <c r="G174" s="7" t="s">
        <v>570</v>
      </c>
      <c r="H174" s="7" t="s">
        <v>849</v>
      </c>
      <c r="J174" s="11" t="s">
        <v>810</v>
      </c>
      <c r="K174" s="16">
        <v>0.06</v>
      </c>
      <c r="L174" s="647" t="s">
        <v>611</v>
      </c>
      <c r="M174" s="625" t="s">
        <v>1227</v>
      </c>
      <c r="N174" s="658" t="str">
        <f t="shared" si="2"/>
        <v>埼玉県幸手市</v>
      </c>
      <c r="O174" s="622">
        <v>10.42</v>
      </c>
      <c r="P174" s="625">
        <v>10.33</v>
      </c>
      <c r="Q174" s="658">
        <v>10.27</v>
      </c>
      <c r="T174" s="1"/>
      <c r="U174" s="1"/>
      <c r="V174" s="1"/>
      <c r="W174" s="1"/>
      <c r="X174" s="1"/>
    </row>
    <row r="175" spans="5:24">
      <c r="E175" s="2"/>
      <c r="G175" s="7" t="s">
        <v>570</v>
      </c>
      <c r="H175" s="7" t="s">
        <v>850</v>
      </c>
      <c r="J175" s="11" t="s">
        <v>810</v>
      </c>
      <c r="K175" s="16">
        <v>0.06</v>
      </c>
      <c r="L175" s="647" t="s">
        <v>611</v>
      </c>
      <c r="M175" s="625" t="s">
        <v>1228</v>
      </c>
      <c r="N175" s="658" t="str">
        <f t="shared" si="2"/>
        <v>埼玉県鶴ヶ島市</v>
      </c>
      <c r="O175" s="622">
        <v>10.42</v>
      </c>
      <c r="P175" s="625">
        <v>10.33</v>
      </c>
      <c r="Q175" s="658">
        <v>10.27</v>
      </c>
      <c r="T175" s="1"/>
      <c r="U175" s="1"/>
      <c r="V175" s="1"/>
      <c r="W175" s="1"/>
      <c r="X175" s="1"/>
    </row>
    <row r="176" spans="5:24">
      <c r="E176" s="2"/>
      <c r="G176" s="7" t="s">
        <v>570</v>
      </c>
      <c r="H176" s="7" t="s">
        <v>851</v>
      </c>
      <c r="J176" s="11" t="s">
        <v>810</v>
      </c>
      <c r="K176" s="16">
        <v>0.06</v>
      </c>
      <c r="L176" s="647" t="s">
        <v>611</v>
      </c>
      <c r="M176" s="625" t="s">
        <v>1230</v>
      </c>
      <c r="N176" s="658" t="str">
        <f t="shared" si="2"/>
        <v>埼玉県吉川市</v>
      </c>
      <c r="O176" s="622">
        <v>10.42</v>
      </c>
      <c r="P176" s="625">
        <v>10.33</v>
      </c>
      <c r="Q176" s="658">
        <v>10.27</v>
      </c>
      <c r="T176" s="1"/>
      <c r="U176" s="1"/>
      <c r="V176" s="1"/>
      <c r="W176" s="1"/>
      <c r="X176" s="1"/>
    </row>
    <row r="177" spans="5:24">
      <c r="E177" s="2"/>
      <c r="G177" s="7" t="s">
        <v>570</v>
      </c>
      <c r="H177" s="7" t="s">
        <v>852</v>
      </c>
      <c r="J177" s="11" t="s">
        <v>810</v>
      </c>
      <c r="K177" s="16">
        <v>0.06</v>
      </c>
      <c r="L177" s="647" t="s">
        <v>611</v>
      </c>
      <c r="M177" s="625" t="s">
        <v>2439</v>
      </c>
      <c r="N177" s="658" t="str">
        <f t="shared" si="2"/>
        <v>埼玉県白岡市</v>
      </c>
      <c r="O177" s="622">
        <v>10.42</v>
      </c>
      <c r="P177" s="625">
        <v>10.33</v>
      </c>
      <c r="Q177" s="658">
        <v>10.27</v>
      </c>
      <c r="T177" s="1"/>
      <c r="U177" s="1"/>
      <c r="V177" s="1"/>
      <c r="W177" s="1"/>
      <c r="X177" s="1"/>
    </row>
    <row r="178" spans="5:24">
      <c r="E178" s="2"/>
      <c r="G178" s="7" t="s">
        <v>570</v>
      </c>
      <c r="H178" s="7" t="s">
        <v>853</v>
      </c>
      <c r="J178" s="11" t="s">
        <v>810</v>
      </c>
      <c r="K178" s="16">
        <v>0.06</v>
      </c>
      <c r="L178" s="647" t="s">
        <v>611</v>
      </c>
      <c r="M178" s="625" t="s">
        <v>1233</v>
      </c>
      <c r="N178" s="658" t="str">
        <f t="shared" si="2"/>
        <v>埼玉県伊奈町</v>
      </c>
      <c r="O178" s="622">
        <v>10.42</v>
      </c>
      <c r="P178" s="625">
        <v>10.33</v>
      </c>
      <c r="Q178" s="658">
        <v>10.27</v>
      </c>
      <c r="T178" s="1"/>
      <c r="U178" s="1"/>
      <c r="V178" s="1"/>
      <c r="W178" s="1"/>
      <c r="X178" s="1"/>
    </row>
    <row r="179" spans="5:24">
      <c r="E179" s="2"/>
      <c r="G179" s="7" t="s">
        <v>570</v>
      </c>
      <c r="H179" s="7" t="s">
        <v>854</v>
      </c>
      <c r="J179" s="11" t="s">
        <v>810</v>
      </c>
      <c r="K179" s="16">
        <v>0.06</v>
      </c>
      <c r="L179" s="647" t="s">
        <v>611</v>
      </c>
      <c r="M179" s="625" t="s">
        <v>1234</v>
      </c>
      <c r="N179" s="658" t="str">
        <f t="shared" si="2"/>
        <v>埼玉県三芳町</v>
      </c>
      <c r="O179" s="622">
        <v>10.42</v>
      </c>
      <c r="P179" s="625">
        <v>10.33</v>
      </c>
      <c r="Q179" s="658">
        <v>10.27</v>
      </c>
      <c r="T179" s="1"/>
      <c r="U179" s="1"/>
      <c r="V179" s="1"/>
      <c r="W179" s="1"/>
      <c r="X179" s="1"/>
    </row>
    <row r="180" spans="5:24">
      <c r="E180" s="2"/>
      <c r="G180" s="7" t="s">
        <v>570</v>
      </c>
      <c r="H180" s="7" t="s">
        <v>855</v>
      </c>
      <c r="J180" s="11" t="s">
        <v>810</v>
      </c>
      <c r="K180" s="16">
        <v>0.06</v>
      </c>
      <c r="L180" s="647" t="s">
        <v>611</v>
      </c>
      <c r="M180" s="625" t="s">
        <v>1252</v>
      </c>
      <c r="N180" s="658" t="str">
        <f t="shared" si="2"/>
        <v>埼玉県宮代町</v>
      </c>
      <c r="O180" s="622">
        <v>10.42</v>
      </c>
      <c r="P180" s="625">
        <v>10.33</v>
      </c>
      <c r="Q180" s="658">
        <v>10.27</v>
      </c>
      <c r="T180" s="1"/>
      <c r="U180" s="1"/>
      <c r="V180" s="1"/>
      <c r="W180" s="1"/>
      <c r="X180" s="1"/>
    </row>
    <row r="181" spans="5:24">
      <c r="E181" s="2"/>
      <c r="G181" s="7" t="s">
        <v>570</v>
      </c>
      <c r="H181" s="7" t="s">
        <v>856</v>
      </c>
      <c r="J181" s="11" t="s">
        <v>810</v>
      </c>
      <c r="K181" s="16">
        <v>0.06</v>
      </c>
      <c r="L181" s="647" t="s">
        <v>611</v>
      </c>
      <c r="M181" s="625" t="s">
        <v>1253</v>
      </c>
      <c r="N181" s="658" t="str">
        <f t="shared" si="2"/>
        <v>埼玉県杉戸町</v>
      </c>
      <c r="O181" s="622">
        <v>10.42</v>
      </c>
      <c r="P181" s="625">
        <v>10.33</v>
      </c>
      <c r="Q181" s="658">
        <v>10.27</v>
      </c>
      <c r="T181" s="1"/>
      <c r="U181" s="1"/>
      <c r="V181" s="1"/>
      <c r="W181" s="1"/>
      <c r="X181" s="1"/>
    </row>
    <row r="182" spans="5:24">
      <c r="E182" s="2"/>
      <c r="G182" s="7" t="s">
        <v>570</v>
      </c>
      <c r="H182" s="7" t="s">
        <v>857</v>
      </c>
      <c r="J182" s="11" t="s">
        <v>810</v>
      </c>
      <c r="K182" s="16">
        <v>0.06</v>
      </c>
      <c r="L182" s="647" t="s">
        <v>611</v>
      </c>
      <c r="M182" s="625" t="s">
        <v>1254</v>
      </c>
      <c r="N182" s="658" t="str">
        <f t="shared" si="2"/>
        <v>埼玉県松伏町</v>
      </c>
      <c r="O182" s="622">
        <v>10.42</v>
      </c>
      <c r="P182" s="625">
        <v>10.33</v>
      </c>
      <c r="Q182" s="658">
        <v>10.27</v>
      </c>
      <c r="T182" s="1"/>
      <c r="U182" s="1"/>
      <c r="V182" s="1"/>
      <c r="W182" s="1"/>
      <c r="X182" s="1"/>
    </row>
    <row r="183" spans="5:24">
      <c r="E183" s="2"/>
      <c r="G183" s="7" t="s">
        <v>570</v>
      </c>
      <c r="H183" s="7" t="s">
        <v>858</v>
      </c>
      <c r="J183" s="11" t="s">
        <v>810</v>
      </c>
      <c r="K183" s="16">
        <v>0.06</v>
      </c>
      <c r="L183" s="647" t="s">
        <v>614</v>
      </c>
      <c r="M183" s="625" t="s">
        <v>1260</v>
      </c>
      <c r="N183" s="658" t="str">
        <f t="shared" si="2"/>
        <v>千葉県木更津市</v>
      </c>
      <c r="O183" s="622">
        <v>10.42</v>
      </c>
      <c r="P183" s="625">
        <v>10.33</v>
      </c>
      <c r="Q183" s="658">
        <v>10.27</v>
      </c>
      <c r="T183" s="1"/>
      <c r="U183" s="1"/>
      <c r="V183" s="1"/>
      <c r="W183" s="1"/>
      <c r="X183" s="1"/>
    </row>
    <row r="184" spans="5:24">
      <c r="E184" s="2"/>
      <c r="G184" s="7" t="s">
        <v>570</v>
      </c>
      <c r="H184" s="7" t="s">
        <v>859</v>
      </c>
      <c r="J184" s="11" t="s">
        <v>810</v>
      </c>
      <c r="K184" s="16">
        <v>0.06</v>
      </c>
      <c r="L184" s="647" t="s">
        <v>614</v>
      </c>
      <c r="M184" s="625" t="s">
        <v>1262</v>
      </c>
      <c r="N184" s="658" t="str">
        <f t="shared" si="2"/>
        <v>千葉県野田市</v>
      </c>
      <c r="O184" s="622">
        <v>10.42</v>
      </c>
      <c r="P184" s="625">
        <v>10.33</v>
      </c>
      <c r="Q184" s="658">
        <v>10.27</v>
      </c>
      <c r="T184" s="1"/>
      <c r="U184" s="1"/>
      <c r="V184" s="1"/>
      <c r="W184" s="1"/>
      <c r="X184" s="1"/>
    </row>
    <row r="185" spans="5:24">
      <c r="E185" s="2"/>
      <c r="G185" s="7" t="s">
        <v>570</v>
      </c>
      <c r="H185" s="7" t="s">
        <v>860</v>
      </c>
      <c r="J185" s="11" t="s">
        <v>810</v>
      </c>
      <c r="K185" s="16">
        <v>0.06</v>
      </c>
      <c r="L185" s="647" t="s">
        <v>614</v>
      </c>
      <c r="M185" s="625" t="s">
        <v>1263</v>
      </c>
      <c r="N185" s="658" t="str">
        <f t="shared" si="2"/>
        <v>千葉県茂原市</v>
      </c>
      <c r="O185" s="622">
        <v>10.42</v>
      </c>
      <c r="P185" s="625">
        <v>10.33</v>
      </c>
      <c r="Q185" s="658">
        <v>10.27</v>
      </c>
      <c r="T185" s="1"/>
      <c r="U185" s="1"/>
      <c r="V185" s="1"/>
      <c r="W185" s="1"/>
      <c r="X185" s="1"/>
    </row>
    <row r="186" spans="5:24">
      <c r="E186" s="2"/>
      <c r="G186" s="7" t="s">
        <v>570</v>
      </c>
      <c r="H186" s="7" t="s">
        <v>861</v>
      </c>
      <c r="J186" s="11" t="s">
        <v>810</v>
      </c>
      <c r="K186" s="16">
        <v>0.06</v>
      </c>
      <c r="L186" s="647" t="s">
        <v>614</v>
      </c>
      <c r="M186" s="625" t="s">
        <v>1269</v>
      </c>
      <c r="N186" s="658" t="str">
        <f t="shared" si="2"/>
        <v>千葉県柏市</v>
      </c>
      <c r="O186" s="622">
        <v>10.42</v>
      </c>
      <c r="P186" s="625">
        <v>10.33</v>
      </c>
      <c r="Q186" s="658">
        <v>10.27</v>
      </c>
      <c r="T186" s="1"/>
      <c r="U186" s="1"/>
      <c r="V186" s="1"/>
      <c r="W186" s="1"/>
      <c r="X186" s="1"/>
    </row>
    <row r="187" spans="5:24">
      <c r="E187" s="2"/>
      <c r="G187" s="7" t="s">
        <v>570</v>
      </c>
      <c r="H187" s="7" t="s">
        <v>862</v>
      </c>
      <c r="J187" s="11" t="s">
        <v>810</v>
      </c>
      <c r="K187" s="16">
        <v>0.06</v>
      </c>
      <c r="L187" s="647" t="s">
        <v>614</v>
      </c>
      <c r="M187" s="625" t="s">
        <v>1272</v>
      </c>
      <c r="N187" s="658" t="str">
        <f t="shared" si="2"/>
        <v>千葉県流山市</v>
      </c>
      <c r="O187" s="622">
        <v>10.42</v>
      </c>
      <c r="P187" s="625">
        <v>10.33</v>
      </c>
      <c r="Q187" s="658">
        <v>10.27</v>
      </c>
      <c r="T187" s="1"/>
      <c r="U187" s="1"/>
      <c r="V187" s="1"/>
      <c r="W187" s="1"/>
      <c r="X187" s="1"/>
    </row>
    <row r="188" spans="5:24">
      <c r="E188" s="2"/>
      <c r="G188" s="7" t="s">
        <v>577</v>
      </c>
      <c r="H188" s="7" t="s">
        <v>863</v>
      </c>
      <c r="J188" s="11" t="s">
        <v>810</v>
      </c>
      <c r="K188" s="16">
        <v>0.06</v>
      </c>
      <c r="L188" s="647" t="s">
        <v>614</v>
      </c>
      <c r="M188" s="625" t="s">
        <v>1274</v>
      </c>
      <c r="N188" s="658" t="str">
        <f t="shared" si="2"/>
        <v>千葉県我孫子市</v>
      </c>
      <c r="O188" s="622">
        <v>10.42</v>
      </c>
      <c r="P188" s="625">
        <v>10.33</v>
      </c>
      <c r="Q188" s="658">
        <v>10.27</v>
      </c>
      <c r="T188" s="1"/>
      <c r="U188" s="1"/>
      <c r="V188" s="1"/>
      <c r="W188" s="1"/>
      <c r="X188" s="1"/>
    </row>
    <row r="189" spans="5:24">
      <c r="E189" s="2"/>
      <c r="G189" s="7" t="s">
        <v>577</v>
      </c>
      <c r="H189" s="7" t="s">
        <v>864</v>
      </c>
      <c r="J189" s="11" t="s">
        <v>810</v>
      </c>
      <c r="K189" s="16">
        <v>0.06</v>
      </c>
      <c r="L189" s="647" t="s">
        <v>614</v>
      </c>
      <c r="M189" s="625" t="s">
        <v>1276</v>
      </c>
      <c r="N189" s="658" t="str">
        <f t="shared" si="2"/>
        <v>千葉県鎌ケ谷市</v>
      </c>
      <c r="O189" s="622">
        <v>10.42</v>
      </c>
      <c r="P189" s="625">
        <v>10.33</v>
      </c>
      <c r="Q189" s="658">
        <v>10.27</v>
      </c>
      <c r="T189" s="1"/>
      <c r="U189" s="1"/>
      <c r="V189" s="1"/>
      <c r="W189" s="1"/>
      <c r="X189" s="1"/>
    </row>
    <row r="190" spans="5:24">
      <c r="E190" s="2"/>
      <c r="G190" s="7" t="s">
        <v>577</v>
      </c>
      <c r="H190" s="7" t="s">
        <v>865</v>
      </c>
      <c r="J190" s="11" t="s">
        <v>810</v>
      </c>
      <c r="K190" s="16">
        <v>0.06</v>
      </c>
      <c r="L190" s="647" t="s">
        <v>614</v>
      </c>
      <c r="M190" s="625" t="s">
        <v>1284</v>
      </c>
      <c r="N190" s="658" t="str">
        <f t="shared" si="2"/>
        <v>千葉県白井市</v>
      </c>
      <c r="O190" s="622">
        <v>10.42</v>
      </c>
      <c r="P190" s="625">
        <v>10.33</v>
      </c>
      <c r="Q190" s="658">
        <v>10.27</v>
      </c>
      <c r="T190" s="1"/>
      <c r="U190" s="1"/>
      <c r="V190" s="1"/>
      <c r="W190" s="1"/>
      <c r="X190" s="1"/>
    </row>
    <row r="191" spans="5:24">
      <c r="E191" s="2"/>
      <c r="G191" s="7" t="s">
        <v>577</v>
      </c>
      <c r="H191" s="7" t="s">
        <v>866</v>
      </c>
      <c r="J191" s="11" t="s">
        <v>810</v>
      </c>
      <c r="K191" s="16">
        <v>0.06</v>
      </c>
      <c r="L191" s="647" t="s">
        <v>614</v>
      </c>
      <c r="M191" s="625" t="s">
        <v>1292</v>
      </c>
      <c r="N191" s="658" t="str">
        <f t="shared" si="2"/>
        <v>千葉県酒々井町</v>
      </c>
      <c r="O191" s="622">
        <v>10.42</v>
      </c>
      <c r="P191" s="625">
        <v>10.33</v>
      </c>
      <c r="Q191" s="658">
        <v>10.27</v>
      </c>
      <c r="T191" s="1"/>
      <c r="U191" s="1"/>
      <c r="V191" s="1"/>
      <c r="W191" s="1"/>
      <c r="X191" s="1"/>
    </row>
    <row r="192" spans="5:24">
      <c r="E192" s="2"/>
      <c r="G192" s="7" t="s">
        <v>577</v>
      </c>
      <c r="H192" s="7" t="s">
        <v>867</v>
      </c>
      <c r="J192" s="11" t="s">
        <v>810</v>
      </c>
      <c r="K192" s="16">
        <v>0.06</v>
      </c>
      <c r="L192" s="647" t="s">
        <v>617</v>
      </c>
      <c r="M192" s="625" t="s">
        <v>1352</v>
      </c>
      <c r="N192" s="658" t="str">
        <f t="shared" si="2"/>
        <v>東京都武蔵村山市</v>
      </c>
      <c r="O192" s="622">
        <v>10.42</v>
      </c>
      <c r="P192" s="625">
        <v>10.33</v>
      </c>
      <c r="Q192" s="658">
        <v>10.27</v>
      </c>
      <c r="T192" s="1"/>
      <c r="U192" s="1"/>
      <c r="V192" s="1"/>
      <c r="W192" s="1"/>
      <c r="X192" s="1"/>
    </row>
    <row r="193" spans="5:24">
      <c r="E193" s="2"/>
      <c r="G193" s="7" t="s">
        <v>577</v>
      </c>
      <c r="H193" s="7" t="s">
        <v>868</v>
      </c>
      <c r="J193" s="11" t="s">
        <v>810</v>
      </c>
      <c r="K193" s="16">
        <v>0.06</v>
      </c>
      <c r="L193" s="647" t="s">
        <v>617</v>
      </c>
      <c r="M193" s="625" t="s">
        <v>1355</v>
      </c>
      <c r="N193" s="658" t="str">
        <f t="shared" si="2"/>
        <v>東京都羽村市</v>
      </c>
      <c r="O193" s="622">
        <v>10.42</v>
      </c>
      <c r="P193" s="625">
        <v>10.33</v>
      </c>
      <c r="Q193" s="658">
        <v>10.27</v>
      </c>
      <c r="T193" s="1"/>
      <c r="U193" s="1"/>
      <c r="V193" s="1"/>
      <c r="W193" s="1"/>
      <c r="X193" s="1"/>
    </row>
    <row r="194" spans="5:24">
      <c r="E194" s="2"/>
      <c r="G194" s="7" t="s">
        <v>577</v>
      </c>
      <c r="H194" s="7" t="s">
        <v>869</v>
      </c>
      <c r="J194" s="11" t="s">
        <v>810</v>
      </c>
      <c r="K194" s="16">
        <v>0.06</v>
      </c>
      <c r="L194" s="647" t="s">
        <v>617</v>
      </c>
      <c r="M194" s="625" t="s">
        <v>2440</v>
      </c>
      <c r="N194" s="658" t="str">
        <f t="shared" si="2"/>
        <v>東京都瑞穂町</v>
      </c>
      <c r="O194" s="622">
        <v>10.42</v>
      </c>
      <c r="P194" s="625">
        <v>10.33</v>
      </c>
      <c r="Q194" s="658">
        <v>10.27</v>
      </c>
      <c r="T194" s="1"/>
      <c r="U194" s="1"/>
      <c r="V194" s="1"/>
      <c r="W194" s="1"/>
      <c r="X194" s="1"/>
    </row>
    <row r="195" spans="5:24">
      <c r="E195" s="2"/>
      <c r="G195" s="7" t="s">
        <v>577</v>
      </c>
      <c r="H195" s="7" t="s">
        <v>870</v>
      </c>
      <c r="J195" s="11" t="s">
        <v>810</v>
      </c>
      <c r="K195" s="16">
        <v>0.06</v>
      </c>
      <c r="L195" s="647" t="s">
        <v>617</v>
      </c>
      <c r="M195" s="625" t="s">
        <v>1361</v>
      </c>
      <c r="N195" s="658" t="str">
        <f t="shared" si="2"/>
        <v>東京都奥多摩町</v>
      </c>
      <c r="O195" s="622">
        <v>10.42</v>
      </c>
      <c r="P195" s="625">
        <v>10.33</v>
      </c>
      <c r="Q195" s="658">
        <v>10.27</v>
      </c>
      <c r="T195" s="1"/>
      <c r="U195" s="1"/>
      <c r="V195" s="1"/>
      <c r="W195" s="1"/>
      <c r="X195" s="1"/>
    </row>
    <row r="196" spans="5:24">
      <c r="E196" s="2"/>
      <c r="G196" s="7" t="s">
        <v>577</v>
      </c>
      <c r="H196" s="7" t="s">
        <v>871</v>
      </c>
      <c r="J196" s="11" t="s">
        <v>810</v>
      </c>
      <c r="K196" s="16">
        <v>0.06</v>
      </c>
      <c r="L196" s="647" t="s">
        <v>617</v>
      </c>
      <c r="M196" s="625" t="s">
        <v>1360</v>
      </c>
      <c r="N196" s="658" t="str">
        <f t="shared" ref="N196:N259" si="3">L196&amp;M196</f>
        <v>東京都檜原村</v>
      </c>
      <c r="O196" s="622">
        <v>10.42</v>
      </c>
      <c r="P196" s="625">
        <v>10.33</v>
      </c>
      <c r="Q196" s="658">
        <v>10.27</v>
      </c>
      <c r="T196" s="1"/>
      <c r="U196" s="1"/>
      <c r="V196" s="1"/>
      <c r="W196" s="1"/>
      <c r="X196" s="1"/>
    </row>
    <row r="197" spans="5:24">
      <c r="E197" s="2"/>
      <c r="G197" s="7" t="s">
        <v>577</v>
      </c>
      <c r="H197" s="7" t="s">
        <v>872</v>
      </c>
      <c r="J197" s="11" t="s">
        <v>810</v>
      </c>
      <c r="K197" s="16">
        <v>0.06</v>
      </c>
      <c r="L197" s="647" t="s">
        <v>620</v>
      </c>
      <c r="M197" s="625" t="s">
        <v>1382</v>
      </c>
      <c r="N197" s="658" t="str">
        <f t="shared" si="3"/>
        <v>神奈川県秦野市</v>
      </c>
      <c r="O197" s="622">
        <v>10.42</v>
      </c>
      <c r="P197" s="625">
        <v>10.33</v>
      </c>
      <c r="Q197" s="658">
        <v>10.27</v>
      </c>
      <c r="T197" s="1"/>
      <c r="U197" s="1"/>
      <c r="V197" s="1"/>
      <c r="W197" s="1"/>
      <c r="X197" s="1"/>
    </row>
    <row r="198" spans="5:24">
      <c r="E198" s="2"/>
      <c r="G198" s="7" t="s">
        <v>577</v>
      </c>
      <c r="H198" s="7" t="s">
        <v>873</v>
      </c>
      <c r="J198" s="11" t="s">
        <v>810</v>
      </c>
      <c r="K198" s="16">
        <v>0.06</v>
      </c>
      <c r="L198" s="647" t="s">
        <v>620</v>
      </c>
      <c r="M198" s="625" t="s">
        <v>1392</v>
      </c>
      <c r="N198" s="658" t="str">
        <f t="shared" si="3"/>
        <v>神奈川県大磯町</v>
      </c>
      <c r="O198" s="622">
        <v>10.42</v>
      </c>
      <c r="P198" s="625">
        <v>10.33</v>
      </c>
      <c r="Q198" s="658">
        <v>10.27</v>
      </c>
      <c r="T198" s="1"/>
      <c r="U198" s="1"/>
      <c r="V198" s="1"/>
      <c r="W198" s="1"/>
      <c r="X198" s="1"/>
    </row>
    <row r="199" spans="5:24">
      <c r="E199" s="2"/>
      <c r="G199" s="7" t="s">
        <v>577</v>
      </c>
      <c r="H199" s="7" t="s">
        <v>874</v>
      </c>
      <c r="J199" s="11" t="s">
        <v>810</v>
      </c>
      <c r="K199" s="16">
        <v>0.06</v>
      </c>
      <c r="L199" s="647" t="s">
        <v>620</v>
      </c>
      <c r="M199" s="625" t="s">
        <v>1393</v>
      </c>
      <c r="N199" s="658" t="str">
        <f t="shared" si="3"/>
        <v>神奈川県二宮町</v>
      </c>
      <c r="O199" s="622">
        <v>10.42</v>
      </c>
      <c r="P199" s="625">
        <v>10.33</v>
      </c>
      <c r="Q199" s="658">
        <v>10.27</v>
      </c>
      <c r="T199" s="1"/>
      <c r="U199" s="1"/>
      <c r="V199" s="1"/>
      <c r="W199" s="1"/>
      <c r="X199" s="1"/>
    </row>
    <row r="200" spans="5:24">
      <c r="E200" s="2"/>
      <c r="G200" s="7" t="s">
        <v>577</v>
      </c>
      <c r="H200" s="7" t="s">
        <v>875</v>
      </c>
      <c r="J200" s="11" t="s">
        <v>810</v>
      </c>
      <c r="K200" s="16">
        <v>0.06</v>
      </c>
      <c r="L200" s="647" t="s">
        <v>620</v>
      </c>
      <c r="M200" s="625" t="s">
        <v>2441</v>
      </c>
      <c r="N200" s="658" t="str">
        <f t="shared" si="3"/>
        <v>神奈川県中井町</v>
      </c>
      <c r="O200" s="622">
        <v>10.42</v>
      </c>
      <c r="P200" s="625">
        <v>10.33</v>
      </c>
      <c r="Q200" s="658">
        <v>10.27</v>
      </c>
      <c r="T200" s="1"/>
      <c r="U200" s="1"/>
      <c r="V200" s="1"/>
      <c r="W200" s="1"/>
      <c r="X200" s="1"/>
    </row>
    <row r="201" spans="5:24">
      <c r="E201" s="2"/>
      <c r="G201" s="7" t="s">
        <v>577</v>
      </c>
      <c r="H201" s="7" t="s">
        <v>876</v>
      </c>
      <c r="J201" s="11" t="s">
        <v>810</v>
      </c>
      <c r="K201" s="16">
        <v>0.06</v>
      </c>
      <c r="L201" s="647" t="s">
        <v>620</v>
      </c>
      <c r="M201" s="625" t="s">
        <v>1403</v>
      </c>
      <c r="N201" s="658" t="str">
        <f t="shared" si="3"/>
        <v>神奈川県清川村</v>
      </c>
      <c r="O201" s="622">
        <v>10.42</v>
      </c>
      <c r="P201" s="625">
        <v>10.33</v>
      </c>
      <c r="Q201" s="658">
        <v>10.27</v>
      </c>
      <c r="T201" s="1"/>
      <c r="U201" s="1"/>
      <c r="V201" s="1"/>
      <c r="W201" s="1"/>
      <c r="X201" s="1"/>
    </row>
    <row r="202" spans="5:24">
      <c r="E202" s="2"/>
      <c r="G202" s="7" t="s">
        <v>577</v>
      </c>
      <c r="H202" s="7" t="s">
        <v>877</v>
      </c>
      <c r="J202" s="11" t="s">
        <v>810</v>
      </c>
      <c r="K202" s="16">
        <v>0.06</v>
      </c>
      <c r="L202" s="647" t="s">
        <v>641</v>
      </c>
      <c r="M202" s="625" t="s">
        <v>1583</v>
      </c>
      <c r="N202" s="658" t="str">
        <f t="shared" si="3"/>
        <v>岐阜県岐阜市</v>
      </c>
      <c r="O202" s="622">
        <v>10.42</v>
      </c>
      <c r="P202" s="625">
        <v>10.33</v>
      </c>
      <c r="Q202" s="658">
        <v>10.27</v>
      </c>
      <c r="T202" s="1"/>
      <c r="U202" s="1"/>
      <c r="V202" s="1"/>
      <c r="W202" s="1"/>
      <c r="X202" s="1"/>
    </row>
    <row r="203" spans="5:24">
      <c r="E203" s="2"/>
      <c r="G203" s="7" t="s">
        <v>577</v>
      </c>
      <c r="H203" s="7" t="s">
        <v>878</v>
      </c>
      <c r="J203" s="11" t="s">
        <v>810</v>
      </c>
      <c r="K203" s="16">
        <v>0.06</v>
      </c>
      <c r="L203" s="647" t="s">
        <v>644</v>
      </c>
      <c r="M203" s="625" t="s">
        <v>1624</v>
      </c>
      <c r="N203" s="658" t="str">
        <f t="shared" si="3"/>
        <v>静岡県静岡市</v>
      </c>
      <c r="O203" s="622">
        <v>10.42</v>
      </c>
      <c r="P203" s="625">
        <v>10.33</v>
      </c>
      <c r="Q203" s="658">
        <v>10.27</v>
      </c>
      <c r="T203" s="1"/>
      <c r="U203" s="1"/>
      <c r="V203" s="1"/>
      <c r="W203" s="1"/>
      <c r="X203" s="1"/>
    </row>
    <row r="204" spans="5:24">
      <c r="E204" s="2"/>
      <c r="G204" s="7" t="s">
        <v>577</v>
      </c>
      <c r="H204" s="7" t="s">
        <v>879</v>
      </c>
      <c r="J204" s="11" t="s">
        <v>810</v>
      </c>
      <c r="K204" s="16">
        <v>0.06</v>
      </c>
      <c r="L204" s="647" t="s">
        <v>647</v>
      </c>
      <c r="M204" s="625" t="s">
        <v>1659</v>
      </c>
      <c r="N204" s="658" t="str">
        <f t="shared" si="3"/>
        <v>愛知県岡崎市</v>
      </c>
      <c r="O204" s="622">
        <v>10.42</v>
      </c>
      <c r="P204" s="625">
        <v>10.33</v>
      </c>
      <c r="Q204" s="658">
        <v>10.27</v>
      </c>
      <c r="T204" s="1"/>
      <c r="U204" s="1"/>
      <c r="V204" s="1"/>
      <c r="W204" s="1"/>
      <c r="X204" s="1"/>
    </row>
    <row r="205" spans="5:24">
      <c r="E205" s="2"/>
      <c r="G205" s="7" t="s">
        <v>577</v>
      </c>
      <c r="H205" s="7" t="s">
        <v>880</v>
      </c>
      <c r="J205" s="11" t="s">
        <v>810</v>
      </c>
      <c r="K205" s="16">
        <v>0.06</v>
      </c>
      <c r="L205" s="647" t="s">
        <v>647</v>
      </c>
      <c r="M205" s="625" t="s">
        <v>1660</v>
      </c>
      <c r="N205" s="658" t="str">
        <f t="shared" si="3"/>
        <v>愛知県一宮市</v>
      </c>
      <c r="O205" s="622">
        <v>10.42</v>
      </c>
      <c r="P205" s="625">
        <v>10.33</v>
      </c>
      <c r="Q205" s="658">
        <v>10.27</v>
      </c>
      <c r="T205" s="1"/>
      <c r="U205" s="1"/>
      <c r="V205" s="1"/>
      <c r="W205" s="1"/>
      <c r="X205" s="1"/>
    </row>
    <row r="206" spans="5:24">
      <c r="E206" s="2"/>
      <c r="G206" s="7" t="s">
        <v>577</v>
      </c>
      <c r="H206" s="7" t="s">
        <v>881</v>
      </c>
      <c r="J206" s="11" t="s">
        <v>810</v>
      </c>
      <c r="K206" s="16">
        <v>0.06</v>
      </c>
      <c r="L206" s="647" t="s">
        <v>647</v>
      </c>
      <c r="M206" s="625" t="s">
        <v>2442</v>
      </c>
      <c r="N206" s="658" t="str">
        <f t="shared" si="3"/>
        <v>愛知県瀬戸市</v>
      </c>
      <c r="O206" s="622">
        <v>10.42</v>
      </c>
      <c r="P206" s="625">
        <v>10.33</v>
      </c>
      <c r="Q206" s="658">
        <v>10.27</v>
      </c>
      <c r="T206" s="1"/>
      <c r="U206" s="1"/>
      <c r="V206" s="1"/>
      <c r="W206" s="1"/>
      <c r="X206" s="1"/>
    </row>
    <row r="207" spans="5:24">
      <c r="E207" s="2"/>
      <c r="G207" s="7" t="s">
        <v>577</v>
      </c>
      <c r="H207" s="7" t="s">
        <v>882</v>
      </c>
      <c r="J207" s="11" t="s">
        <v>810</v>
      </c>
      <c r="K207" s="16">
        <v>0.06</v>
      </c>
      <c r="L207" s="647" t="s">
        <v>647</v>
      </c>
      <c r="M207" s="625" t="s">
        <v>1663</v>
      </c>
      <c r="N207" s="658" t="str">
        <f t="shared" si="3"/>
        <v>愛知県春日井市</v>
      </c>
      <c r="O207" s="622">
        <v>10.42</v>
      </c>
      <c r="P207" s="625">
        <v>10.33</v>
      </c>
      <c r="Q207" s="658">
        <v>10.27</v>
      </c>
      <c r="T207" s="1"/>
      <c r="U207" s="1"/>
      <c r="V207" s="1"/>
      <c r="W207" s="1"/>
      <c r="X207" s="1"/>
    </row>
    <row r="208" spans="5:24">
      <c r="E208" s="2"/>
      <c r="G208" s="7" t="s">
        <v>577</v>
      </c>
      <c r="H208" s="7" t="s">
        <v>883</v>
      </c>
      <c r="J208" s="11" t="s">
        <v>810</v>
      </c>
      <c r="K208" s="16">
        <v>0.06</v>
      </c>
      <c r="L208" s="647" t="s">
        <v>647</v>
      </c>
      <c r="M208" s="625" t="s">
        <v>1665</v>
      </c>
      <c r="N208" s="658" t="str">
        <f t="shared" si="3"/>
        <v>愛知県津島市</v>
      </c>
      <c r="O208" s="622">
        <v>10.42</v>
      </c>
      <c r="P208" s="625">
        <v>10.33</v>
      </c>
      <c r="Q208" s="658">
        <v>10.27</v>
      </c>
      <c r="T208" s="1"/>
      <c r="U208" s="1"/>
      <c r="V208" s="1"/>
      <c r="W208" s="1"/>
      <c r="X208" s="1"/>
    </row>
    <row r="209" spans="5:24">
      <c r="E209" s="2"/>
      <c r="G209" s="7" t="s">
        <v>577</v>
      </c>
      <c r="H209" s="7" t="s">
        <v>884</v>
      </c>
      <c r="J209" s="11" t="s">
        <v>810</v>
      </c>
      <c r="K209" s="16">
        <v>0.06</v>
      </c>
      <c r="L209" s="647" t="s">
        <v>647</v>
      </c>
      <c r="M209" s="625" t="s">
        <v>1666</v>
      </c>
      <c r="N209" s="658" t="str">
        <f t="shared" si="3"/>
        <v>愛知県碧南市</v>
      </c>
      <c r="O209" s="622">
        <v>10.42</v>
      </c>
      <c r="P209" s="625">
        <v>10.33</v>
      </c>
      <c r="Q209" s="658">
        <v>10.27</v>
      </c>
      <c r="T209" s="1"/>
      <c r="U209" s="1"/>
      <c r="V209" s="1"/>
      <c r="W209" s="1"/>
      <c r="X209" s="1"/>
    </row>
    <row r="210" spans="5:24">
      <c r="E210" s="2"/>
      <c r="G210" s="7" t="s">
        <v>577</v>
      </c>
      <c r="H210" s="7" t="s">
        <v>885</v>
      </c>
      <c r="J210" s="11" t="s">
        <v>810</v>
      </c>
      <c r="K210" s="16">
        <v>0.06</v>
      </c>
      <c r="L210" s="647" t="s">
        <v>647</v>
      </c>
      <c r="M210" s="625" t="s">
        <v>1669</v>
      </c>
      <c r="N210" s="658" t="str">
        <f t="shared" si="3"/>
        <v>愛知県安城市</v>
      </c>
      <c r="O210" s="622">
        <v>10.42</v>
      </c>
      <c r="P210" s="625">
        <v>10.33</v>
      </c>
      <c r="Q210" s="658">
        <v>10.27</v>
      </c>
      <c r="T210" s="1"/>
      <c r="U210" s="1"/>
      <c r="V210" s="1"/>
      <c r="W210" s="1"/>
      <c r="X210" s="1"/>
    </row>
    <row r="211" spans="5:24">
      <c r="E211" s="2"/>
      <c r="G211" s="7" t="s">
        <v>577</v>
      </c>
      <c r="H211" s="7" t="s">
        <v>886</v>
      </c>
      <c r="J211" s="11" t="s">
        <v>810</v>
      </c>
      <c r="K211" s="16">
        <v>0.06</v>
      </c>
      <c r="L211" s="647" t="s">
        <v>647</v>
      </c>
      <c r="M211" s="625" t="s">
        <v>1670</v>
      </c>
      <c r="N211" s="658" t="str">
        <f t="shared" si="3"/>
        <v>愛知県西尾市</v>
      </c>
      <c r="O211" s="622">
        <v>10.42</v>
      </c>
      <c r="P211" s="625">
        <v>10.33</v>
      </c>
      <c r="Q211" s="658">
        <v>10.27</v>
      </c>
      <c r="T211" s="1"/>
      <c r="U211" s="1"/>
      <c r="V211" s="1"/>
      <c r="W211" s="1"/>
      <c r="X211" s="1"/>
    </row>
    <row r="212" spans="5:24">
      <c r="E212" s="2"/>
      <c r="G212" s="7" t="s">
        <v>577</v>
      </c>
      <c r="H212" s="7" t="s">
        <v>887</v>
      </c>
      <c r="J212" s="11" t="s">
        <v>810</v>
      </c>
      <c r="K212" s="16">
        <v>0.06</v>
      </c>
      <c r="L212" s="647" t="s">
        <v>647</v>
      </c>
      <c r="M212" s="625" t="s">
        <v>1672</v>
      </c>
      <c r="N212" s="658" t="str">
        <f t="shared" si="3"/>
        <v>愛知県犬山市</v>
      </c>
      <c r="O212" s="622">
        <v>10.42</v>
      </c>
      <c r="P212" s="625">
        <v>10.33</v>
      </c>
      <c r="Q212" s="658">
        <v>10.27</v>
      </c>
      <c r="T212" s="1"/>
      <c r="U212" s="1"/>
      <c r="V212" s="1"/>
      <c r="W212" s="1"/>
      <c r="X212" s="1"/>
    </row>
    <row r="213" spans="5:24">
      <c r="E213" s="2"/>
      <c r="G213" s="7" t="s">
        <v>577</v>
      </c>
      <c r="H213" s="7" t="s">
        <v>888</v>
      </c>
      <c r="J213" s="11" t="s">
        <v>810</v>
      </c>
      <c r="K213" s="16">
        <v>0.06</v>
      </c>
      <c r="L213" s="647" t="s">
        <v>647</v>
      </c>
      <c r="M213" s="625" t="s">
        <v>1674</v>
      </c>
      <c r="N213" s="658" t="str">
        <f t="shared" si="3"/>
        <v>愛知県江南市</v>
      </c>
      <c r="O213" s="622">
        <v>10.42</v>
      </c>
      <c r="P213" s="625">
        <v>10.33</v>
      </c>
      <c r="Q213" s="658">
        <v>10.27</v>
      </c>
      <c r="T213" s="1"/>
      <c r="U213" s="1"/>
      <c r="V213" s="1"/>
      <c r="W213" s="1"/>
      <c r="X213" s="1"/>
    </row>
    <row r="214" spans="5:24">
      <c r="E214" s="2"/>
      <c r="G214" s="7" t="s">
        <v>577</v>
      </c>
      <c r="H214" s="7" t="s">
        <v>889</v>
      </c>
      <c r="J214" s="11" t="s">
        <v>810</v>
      </c>
      <c r="K214" s="16">
        <v>0.06</v>
      </c>
      <c r="L214" s="647" t="s">
        <v>647</v>
      </c>
      <c r="M214" s="625" t="s">
        <v>1676</v>
      </c>
      <c r="N214" s="658" t="str">
        <f t="shared" si="3"/>
        <v>愛知県稲沢市</v>
      </c>
      <c r="O214" s="622">
        <v>10.42</v>
      </c>
      <c r="P214" s="625">
        <v>10.33</v>
      </c>
      <c r="Q214" s="658">
        <v>10.27</v>
      </c>
      <c r="T214" s="1"/>
      <c r="U214" s="1"/>
      <c r="V214" s="1"/>
      <c r="W214" s="1"/>
      <c r="X214" s="1"/>
    </row>
    <row r="215" spans="5:24">
      <c r="E215" s="2"/>
      <c r="G215" s="7" t="s">
        <v>577</v>
      </c>
      <c r="H215" s="7" t="s">
        <v>890</v>
      </c>
      <c r="J215" s="11" t="s">
        <v>810</v>
      </c>
      <c r="K215" s="16">
        <v>0.06</v>
      </c>
      <c r="L215" s="647" t="s">
        <v>647</v>
      </c>
      <c r="M215" s="625" t="s">
        <v>1682</v>
      </c>
      <c r="N215" s="658" t="str">
        <f t="shared" si="3"/>
        <v>愛知県尾張旭市</v>
      </c>
      <c r="O215" s="622">
        <v>10.42</v>
      </c>
      <c r="P215" s="625">
        <v>10.33</v>
      </c>
      <c r="Q215" s="658">
        <v>10.27</v>
      </c>
      <c r="T215" s="1"/>
      <c r="U215" s="1"/>
      <c r="V215" s="1"/>
      <c r="W215" s="1"/>
      <c r="X215" s="1"/>
    </row>
    <row r="216" spans="5:24">
      <c r="E216" s="2"/>
      <c r="G216" s="7" t="s">
        <v>577</v>
      </c>
      <c r="H216" s="7" t="s">
        <v>891</v>
      </c>
      <c r="J216" s="11" t="s">
        <v>810</v>
      </c>
      <c r="K216" s="16">
        <v>0.06</v>
      </c>
      <c r="L216" s="647" t="s">
        <v>647</v>
      </c>
      <c r="M216" s="625" t="s">
        <v>1684</v>
      </c>
      <c r="N216" s="658" t="str">
        <f t="shared" si="3"/>
        <v>愛知県岩倉市</v>
      </c>
      <c r="O216" s="622">
        <v>10.42</v>
      </c>
      <c r="P216" s="625">
        <v>10.33</v>
      </c>
      <c r="Q216" s="658">
        <v>10.27</v>
      </c>
      <c r="T216" s="1"/>
      <c r="U216" s="1"/>
      <c r="V216" s="1"/>
      <c r="W216" s="1"/>
      <c r="X216" s="1"/>
    </row>
    <row r="217" spans="5:24">
      <c r="E217" s="2"/>
      <c r="G217" s="7" t="s">
        <v>577</v>
      </c>
      <c r="H217" s="7" t="s">
        <v>892</v>
      </c>
      <c r="J217" s="11" t="s">
        <v>810</v>
      </c>
      <c r="K217" s="16">
        <v>0.06</v>
      </c>
      <c r="L217" s="647" t="s">
        <v>647</v>
      </c>
      <c r="M217" s="625" t="s">
        <v>1686</v>
      </c>
      <c r="N217" s="658" t="str">
        <f t="shared" si="3"/>
        <v>愛知県日進市</v>
      </c>
      <c r="O217" s="622">
        <v>10.42</v>
      </c>
      <c r="P217" s="625">
        <v>10.33</v>
      </c>
      <c r="Q217" s="658">
        <v>10.27</v>
      </c>
      <c r="T217" s="1"/>
      <c r="U217" s="1"/>
      <c r="V217" s="1"/>
      <c r="W217" s="1"/>
      <c r="X217" s="1"/>
    </row>
    <row r="218" spans="5:24">
      <c r="E218" s="2"/>
      <c r="G218" s="7" t="s">
        <v>577</v>
      </c>
      <c r="H218" s="7" t="s">
        <v>893</v>
      </c>
      <c r="J218" s="11" t="s">
        <v>810</v>
      </c>
      <c r="K218" s="16">
        <v>0.06</v>
      </c>
      <c r="L218" s="647" t="s">
        <v>647</v>
      </c>
      <c r="M218" s="625" t="s">
        <v>1688</v>
      </c>
      <c r="N218" s="658" t="str">
        <f t="shared" si="3"/>
        <v>愛知県愛西市</v>
      </c>
      <c r="O218" s="622">
        <v>10.42</v>
      </c>
      <c r="P218" s="625">
        <v>10.33</v>
      </c>
      <c r="Q218" s="658">
        <v>10.27</v>
      </c>
      <c r="T218" s="1"/>
      <c r="U218" s="1"/>
      <c r="V218" s="1"/>
      <c r="W218" s="1"/>
      <c r="X218" s="1"/>
    </row>
    <row r="219" spans="5:24">
      <c r="E219" s="2"/>
      <c r="G219" s="7" t="s">
        <v>577</v>
      </c>
      <c r="H219" s="7" t="s">
        <v>894</v>
      </c>
      <c r="J219" s="11" t="s">
        <v>810</v>
      </c>
      <c r="K219" s="16">
        <v>0.06</v>
      </c>
      <c r="L219" s="647" t="s">
        <v>647</v>
      </c>
      <c r="M219" s="625" t="s">
        <v>2443</v>
      </c>
      <c r="N219" s="658" t="str">
        <f t="shared" si="3"/>
        <v>愛知県清須市</v>
      </c>
      <c r="O219" s="622">
        <v>10.42</v>
      </c>
      <c r="P219" s="625">
        <v>10.33</v>
      </c>
      <c r="Q219" s="658">
        <v>10.27</v>
      </c>
      <c r="T219" s="1"/>
      <c r="U219" s="1"/>
      <c r="V219" s="1"/>
      <c r="W219" s="1"/>
      <c r="X219" s="1"/>
    </row>
    <row r="220" spans="5:24">
      <c r="E220" s="2"/>
      <c r="G220" s="7" t="s">
        <v>577</v>
      </c>
      <c r="H220" s="7" t="s">
        <v>895</v>
      </c>
      <c r="J220" s="11" t="s">
        <v>810</v>
      </c>
      <c r="K220" s="16">
        <v>0.06</v>
      </c>
      <c r="L220" s="647" t="s">
        <v>647</v>
      </c>
      <c r="M220" s="625" t="s">
        <v>1690</v>
      </c>
      <c r="N220" s="658" t="str">
        <f t="shared" si="3"/>
        <v>愛知県北名古屋市</v>
      </c>
      <c r="O220" s="622">
        <v>10.42</v>
      </c>
      <c r="P220" s="625">
        <v>10.33</v>
      </c>
      <c r="Q220" s="658">
        <v>10.27</v>
      </c>
      <c r="T220" s="1"/>
      <c r="U220" s="1"/>
      <c r="V220" s="1"/>
      <c r="W220" s="1"/>
      <c r="X220" s="1"/>
    </row>
    <row r="221" spans="5:24">
      <c r="E221" s="2"/>
      <c r="G221" s="7" t="s">
        <v>577</v>
      </c>
      <c r="H221" s="7" t="s">
        <v>896</v>
      </c>
      <c r="J221" s="11" t="s">
        <v>810</v>
      </c>
      <c r="K221" s="16">
        <v>0.06</v>
      </c>
      <c r="L221" s="647" t="s">
        <v>647</v>
      </c>
      <c r="M221" s="625" t="s">
        <v>1691</v>
      </c>
      <c r="N221" s="658" t="str">
        <f t="shared" si="3"/>
        <v>愛知県弥富市</v>
      </c>
      <c r="O221" s="622">
        <v>10.42</v>
      </c>
      <c r="P221" s="625">
        <v>10.33</v>
      </c>
      <c r="Q221" s="658">
        <v>10.27</v>
      </c>
      <c r="T221" s="1"/>
      <c r="U221" s="1"/>
      <c r="V221" s="1"/>
      <c r="W221" s="1"/>
      <c r="X221" s="1"/>
    </row>
    <row r="222" spans="5:24">
      <c r="E222" s="2"/>
      <c r="G222" s="7" t="s">
        <v>577</v>
      </c>
      <c r="H222" s="7" t="s">
        <v>897</v>
      </c>
      <c r="J222" s="11" t="s">
        <v>810</v>
      </c>
      <c r="K222" s="16">
        <v>0.06</v>
      </c>
      <c r="L222" s="647" t="s">
        <v>647</v>
      </c>
      <c r="M222" s="625" t="s">
        <v>1693</v>
      </c>
      <c r="N222" s="658" t="str">
        <f t="shared" si="3"/>
        <v>愛知県あま市</v>
      </c>
      <c r="O222" s="622">
        <v>10.42</v>
      </c>
      <c r="P222" s="625">
        <v>10.33</v>
      </c>
      <c r="Q222" s="658">
        <v>10.27</v>
      </c>
      <c r="T222" s="1"/>
      <c r="U222" s="1"/>
      <c r="V222" s="1"/>
      <c r="W222" s="1"/>
      <c r="X222" s="1"/>
    </row>
    <row r="223" spans="5:24">
      <c r="E223" s="2"/>
      <c r="G223" s="7" t="s">
        <v>577</v>
      </c>
      <c r="H223" s="7" t="s">
        <v>898</v>
      </c>
      <c r="J223" s="11" t="s">
        <v>810</v>
      </c>
      <c r="K223" s="16">
        <v>0.06</v>
      </c>
      <c r="L223" s="647" t="s">
        <v>647</v>
      </c>
      <c r="M223" s="625" t="s">
        <v>1694</v>
      </c>
      <c r="N223" s="658" t="str">
        <f t="shared" si="3"/>
        <v>愛知県長久手市</v>
      </c>
      <c r="O223" s="622">
        <v>10.42</v>
      </c>
      <c r="P223" s="625">
        <v>10.33</v>
      </c>
      <c r="Q223" s="658">
        <v>10.27</v>
      </c>
      <c r="T223" s="1"/>
      <c r="U223" s="1"/>
      <c r="V223" s="1"/>
      <c r="W223" s="1"/>
      <c r="X223" s="1"/>
    </row>
    <row r="224" spans="5:24">
      <c r="E224" s="2"/>
      <c r="G224" s="7" t="s">
        <v>577</v>
      </c>
      <c r="H224" s="7" t="s">
        <v>899</v>
      </c>
      <c r="J224" s="11" t="s">
        <v>810</v>
      </c>
      <c r="K224" s="16">
        <v>0.06</v>
      </c>
      <c r="L224" s="647" t="s">
        <v>647</v>
      </c>
      <c r="M224" s="625" t="s">
        <v>1695</v>
      </c>
      <c r="N224" s="658" t="str">
        <f t="shared" si="3"/>
        <v>愛知県東郷町</v>
      </c>
      <c r="O224" s="622">
        <v>10.42</v>
      </c>
      <c r="P224" s="625">
        <v>10.33</v>
      </c>
      <c r="Q224" s="658">
        <v>10.27</v>
      </c>
      <c r="T224" s="1"/>
      <c r="U224" s="1"/>
      <c r="V224" s="1"/>
      <c r="W224" s="1"/>
      <c r="X224" s="1"/>
    </row>
    <row r="225" spans="5:24">
      <c r="E225" s="2"/>
      <c r="G225" s="7" t="s">
        <v>577</v>
      </c>
      <c r="H225" s="7" t="s">
        <v>900</v>
      </c>
      <c r="J225" s="11" t="s">
        <v>810</v>
      </c>
      <c r="K225" s="16">
        <v>0.06</v>
      </c>
      <c r="L225" s="647" t="s">
        <v>647</v>
      </c>
      <c r="M225" s="625" t="s">
        <v>1699</v>
      </c>
      <c r="N225" s="658" t="str">
        <f t="shared" si="3"/>
        <v>愛知県大治町</v>
      </c>
      <c r="O225" s="622">
        <v>10.42</v>
      </c>
      <c r="P225" s="625">
        <v>10.33</v>
      </c>
      <c r="Q225" s="658">
        <v>10.27</v>
      </c>
      <c r="T225" s="1"/>
      <c r="U225" s="1"/>
      <c r="V225" s="1"/>
      <c r="W225" s="1"/>
      <c r="X225" s="1"/>
    </row>
    <row r="226" spans="5:24">
      <c r="E226" s="2"/>
      <c r="G226" s="7" t="s">
        <v>577</v>
      </c>
      <c r="H226" s="7" t="s">
        <v>901</v>
      </c>
      <c r="J226" s="11" t="s">
        <v>810</v>
      </c>
      <c r="K226" s="16">
        <v>0.06</v>
      </c>
      <c r="L226" s="647" t="s">
        <v>647</v>
      </c>
      <c r="M226" s="625" t="s">
        <v>1700</v>
      </c>
      <c r="N226" s="658" t="str">
        <f t="shared" si="3"/>
        <v>愛知県蟹江町</v>
      </c>
      <c r="O226" s="622">
        <v>10.42</v>
      </c>
      <c r="P226" s="625">
        <v>10.33</v>
      </c>
      <c r="Q226" s="658">
        <v>10.27</v>
      </c>
      <c r="T226" s="1"/>
      <c r="U226" s="1"/>
      <c r="V226" s="1"/>
      <c r="W226" s="1"/>
      <c r="X226" s="1"/>
    </row>
    <row r="227" spans="5:24">
      <c r="E227" s="2"/>
      <c r="G227" s="7" t="s">
        <v>577</v>
      </c>
      <c r="H227" s="7" t="s">
        <v>902</v>
      </c>
      <c r="J227" s="11" t="s">
        <v>810</v>
      </c>
      <c r="K227" s="16">
        <v>0.06</v>
      </c>
      <c r="L227" s="647" t="s">
        <v>647</v>
      </c>
      <c r="M227" s="625" t="s">
        <v>2444</v>
      </c>
      <c r="N227" s="658" t="str">
        <f t="shared" si="3"/>
        <v>愛知県豊山町</v>
      </c>
      <c r="O227" s="622">
        <v>10.42</v>
      </c>
      <c r="P227" s="625">
        <v>10.33</v>
      </c>
      <c r="Q227" s="658">
        <v>10.27</v>
      </c>
      <c r="T227" s="1"/>
      <c r="U227" s="1"/>
      <c r="V227" s="1"/>
      <c r="W227" s="1"/>
      <c r="X227" s="1"/>
    </row>
    <row r="228" spans="5:24">
      <c r="E228" s="2"/>
      <c r="G228" s="7" t="s">
        <v>583</v>
      </c>
      <c r="H228" s="7" t="s">
        <v>903</v>
      </c>
      <c r="J228" s="11" t="s">
        <v>810</v>
      </c>
      <c r="K228" s="16">
        <v>0.06</v>
      </c>
      <c r="L228" s="647" t="s">
        <v>647</v>
      </c>
      <c r="M228" s="625" t="s">
        <v>2445</v>
      </c>
      <c r="N228" s="658" t="str">
        <f t="shared" si="3"/>
        <v>愛知県飛島村</v>
      </c>
      <c r="O228" s="622">
        <v>10.42</v>
      </c>
      <c r="P228" s="625">
        <v>10.33</v>
      </c>
      <c r="Q228" s="658">
        <v>10.27</v>
      </c>
      <c r="T228" s="1"/>
      <c r="U228" s="1"/>
      <c r="V228" s="1"/>
      <c r="W228" s="1"/>
      <c r="X228" s="1"/>
    </row>
    <row r="229" spans="5:24">
      <c r="E229" s="2"/>
      <c r="G229" s="7" t="s">
        <v>583</v>
      </c>
      <c r="H229" s="7" t="s">
        <v>904</v>
      </c>
      <c r="J229" s="11" t="s">
        <v>810</v>
      </c>
      <c r="K229" s="16">
        <v>0.06</v>
      </c>
      <c r="L229" s="647" t="s">
        <v>650</v>
      </c>
      <c r="M229" s="625" t="s">
        <v>1710</v>
      </c>
      <c r="N229" s="658" t="str">
        <f t="shared" si="3"/>
        <v>三重県津市</v>
      </c>
      <c r="O229" s="622">
        <v>10.42</v>
      </c>
      <c r="P229" s="625">
        <v>10.33</v>
      </c>
      <c r="Q229" s="658">
        <v>10.27</v>
      </c>
      <c r="T229" s="1"/>
      <c r="U229" s="1"/>
      <c r="V229" s="1"/>
      <c r="W229" s="1"/>
      <c r="X229" s="1"/>
    </row>
    <row r="230" spans="5:24">
      <c r="E230" s="2"/>
      <c r="G230" s="7" t="s">
        <v>583</v>
      </c>
      <c r="H230" s="7" t="s">
        <v>905</v>
      </c>
      <c r="J230" s="11" t="s">
        <v>810</v>
      </c>
      <c r="K230" s="16">
        <v>0.06</v>
      </c>
      <c r="L230" s="647" t="s">
        <v>650</v>
      </c>
      <c r="M230" s="625" t="s">
        <v>1711</v>
      </c>
      <c r="N230" s="658" t="str">
        <f t="shared" si="3"/>
        <v>三重県四日市市</v>
      </c>
      <c r="O230" s="622">
        <v>10.42</v>
      </c>
      <c r="P230" s="625">
        <v>10.33</v>
      </c>
      <c r="Q230" s="658">
        <v>10.27</v>
      </c>
      <c r="T230" s="1"/>
      <c r="U230" s="1"/>
      <c r="V230" s="1"/>
      <c r="W230" s="1"/>
      <c r="X230" s="1"/>
    </row>
    <row r="231" spans="5:24">
      <c r="E231" s="2"/>
      <c r="G231" s="7" t="s">
        <v>583</v>
      </c>
      <c r="H231" s="7" t="s">
        <v>906</v>
      </c>
      <c r="J231" s="11" t="s">
        <v>810</v>
      </c>
      <c r="K231" s="16">
        <v>0.06</v>
      </c>
      <c r="L231" s="647" t="s">
        <v>650</v>
      </c>
      <c r="M231" s="625" t="s">
        <v>1714</v>
      </c>
      <c r="N231" s="658" t="str">
        <f t="shared" si="3"/>
        <v>三重県桑名市</v>
      </c>
      <c r="O231" s="622">
        <v>10.42</v>
      </c>
      <c r="P231" s="625">
        <v>10.33</v>
      </c>
      <c r="Q231" s="658">
        <v>10.27</v>
      </c>
      <c r="T231" s="1"/>
      <c r="U231" s="1"/>
      <c r="V231" s="1"/>
      <c r="W231" s="1"/>
      <c r="X231" s="1"/>
    </row>
    <row r="232" spans="5:24">
      <c r="E232" s="2"/>
      <c r="G232" s="7" t="s">
        <v>583</v>
      </c>
      <c r="H232" s="7" t="s">
        <v>907</v>
      </c>
      <c r="J232" s="11" t="s">
        <v>810</v>
      </c>
      <c r="K232" s="16">
        <v>0.06</v>
      </c>
      <c r="L232" s="647" t="s">
        <v>650</v>
      </c>
      <c r="M232" s="625" t="s">
        <v>1715</v>
      </c>
      <c r="N232" s="658" t="str">
        <f t="shared" si="3"/>
        <v>三重県鈴鹿市</v>
      </c>
      <c r="O232" s="622">
        <v>10.42</v>
      </c>
      <c r="P232" s="625">
        <v>10.33</v>
      </c>
      <c r="Q232" s="658">
        <v>10.27</v>
      </c>
      <c r="T232" s="1"/>
      <c r="U232" s="1"/>
      <c r="V232" s="1"/>
      <c r="W232" s="1"/>
      <c r="X232" s="1"/>
    </row>
    <row r="233" spans="5:24">
      <c r="E233" s="2"/>
      <c r="G233" s="7" t="s">
        <v>583</v>
      </c>
      <c r="H233" s="7" t="s">
        <v>908</v>
      </c>
      <c r="J233" s="11" t="s">
        <v>810</v>
      </c>
      <c r="K233" s="16">
        <v>0.06</v>
      </c>
      <c r="L233" s="647" t="s">
        <v>650</v>
      </c>
      <c r="M233" s="625" t="s">
        <v>1718</v>
      </c>
      <c r="N233" s="658" t="str">
        <f t="shared" si="3"/>
        <v>三重県亀山市</v>
      </c>
      <c r="O233" s="622">
        <v>10.42</v>
      </c>
      <c r="P233" s="625">
        <v>10.33</v>
      </c>
      <c r="Q233" s="658">
        <v>10.27</v>
      </c>
      <c r="T233" s="1"/>
      <c r="U233" s="1"/>
      <c r="V233" s="1"/>
      <c r="W233" s="1"/>
      <c r="X233" s="1"/>
    </row>
    <row r="234" spans="5:24">
      <c r="E234" s="2"/>
      <c r="G234" s="7" t="s">
        <v>583</v>
      </c>
      <c r="H234" s="7" t="s">
        <v>909</v>
      </c>
      <c r="J234" s="11" t="s">
        <v>810</v>
      </c>
      <c r="K234" s="16">
        <v>0.06</v>
      </c>
      <c r="L234" s="647" t="s">
        <v>654</v>
      </c>
      <c r="M234" s="625" t="s">
        <v>1738</v>
      </c>
      <c r="N234" s="658" t="str">
        <f t="shared" si="3"/>
        <v>滋賀県彦根市</v>
      </c>
      <c r="O234" s="622">
        <v>10.42</v>
      </c>
      <c r="P234" s="625">
        <v>10.33</v>
      </c>
      <c r="Q234" s="658">
        <v>10.27</v>
      </c>
      <c r="T234" s="1"/>
      <c r="U234" s="1"/>
      <c r="V234" s="1"/>
      <c r="W234" s="1"/>
      <c r="X234" s="1"/>
    </row>
    <row r="235" spans="5:24">
      <c r="E235" s="2"/>
      <c r="G235" s="7" t="s">
        <v>583</v>
      </c>
      <c r="H235" s="7" t="s">
        <v>910</v>
      </c>
      <c r="J235" s="11" t="s">
        <v>810</v>
      </c>
      <c r="K235" s="16">
        <v>0.06</v>
      </c>
      <c r="L235" s="647" t="s">
        <v>654</v>
      </c>
      <c r="M235" s="625" t="s">
        <v>1742</v>
      </c>
      <c r="N235" s="658" t="str">
        <f t="shared" si="3"/>
        <v>滋賀県守山市</v>
      </c>
      <c r="O235" s="622">
        <v>10.42</v>
      </c>
      <c r="P235" s="625">
        <v>10.33</v>
      </c>
      <c r="Q235" s="658">
        <v>10.27</v>
      </c>
      <c r="T235" s="1"/>
      <c r="U235" s="1"/>
      <c r="V235" s="1"/>
      <c r="W235" s="1"/>
      <c r="X235" s="1"/>
    </row>
    <row r="236" spans="5:24">
      <c r="E236" s="2"/>
      <c r="G236" s="7" t="s">
        <v>583</v>
      </c>
      <c r="H236" s="7" t="s">
        <v>911</v>
      </c>
      <c r="J236" s="11" t="s">
        <v>810</v>
      </c>
      <c r="K236" s="16">
        <v>0.06</v>
      </c>
      <c r="L236" s="647" t="s">
        <v>654</v>
      </c>
      <c r="M236" s="625" t="s">
        <v>1744</v>
      </c>
      <c r="N236" s="658" t="str">
        <f t="shared" si="3"/>
        <v>滋賀県甲賀市</v>
      </c>
      <c r="O236" s="622">
        <v>10.42</v>
      </c>
      <c r="P236" s="625">
        <v>10.33</v>
      </c>
      <c r="Q236" s="658">
        <v>10.27</v>
      </c>
      <c r="T236" s="1"/>
      <c r="U236" s="1"/>
      <c r="V236" s="1"/>
      <c r="W236" s="1"/>
      <c r="X236" s="1"/>
    </row>
    <row r="237" spans="5:24">
      <c r="E237" s="2"/>
      <c r="G237" s="7" t="s">
        <v>583</v>
      </c>
      <c r="H237" s="7" t="s">
        <v>912</v>
      </c>
      <c r="J237" s="11" t="s">
        <v>810</v>
      </c>
      <c r="K237" s="16">
        <v>0.06</v>
      </c>
      <c r="L237" s="647" t="s">
        <v>657</v>
      </c>
      <c r="M237" s="625" t="s">
        <v>1760</v>
      </c>
      <c r="N237" s="658" t="str">
        <f t="shared" si="3"/>
        <v>京都府宇治市</v>
      </c>
      <c r="O237" s="622">
        <v>10.42</v>
      </c>
      <c r="P237" s="625">
        <v>10.33</v>
      </c>
      <c r="Q237" s="658">
        <v>10.27</v>
      </c>
      <c r="T237" s="1"/>
      <c r="U237" s="1"/>
      <c r="V237" s="1"/>
      <c r="W237" s="1"/>
      <c r="X237" s="1"/>
    </row>
    <row r="238" spans="5:24">
      <c r="E238" s="2"/>
      <c r="G238" s="7" t="s">
        <v>583</v>
      </c>
      <c r="H238" s="7" t="s">
        <v>913</v>
      </c>
      <c r="J238" s="11" t="s">
        <v>810</v>
      </c>
      <c r="K238" s="16">
        <v>0.06</v>
      </c>
      <c r="L238" s="647" t="s">
        <v>657</v>
      </c>
      <c r="M238" s="625" t="s">
        <v>1762</v>
      </c>
      <c r="N238" s="658" t="str">
        <f t="shared" si="3"/>
        <v>京都府亀岡市</v>
      </c>
      <c r="O238" s="622">
        <v>10.42</v>
      </c>
      <c r="P238" s="625">
        <v>10.33</v>
      </c>
      <c r="Q238" s="658">
        <v>10.27</v>
      </c>
      <c r="T238" s="1"/>
      <c r="U238" s="1"/>
      <c r="V238" s="1"/>
      <c r="W238" s="1"/>
      <c r="X238" s="1"/>
    </row>
    <row r="239" spans="5:24">
      <c r="E239" s="2"/>
      <c r="G239" s="7" t="s">
        <v>583</v>
      </c>
      <c r="H239" s="7" t="s">
        <v>914</v>
      </c>
      <c r="J239" s="11" t="s">
        <v>810</v>
      </c>
      <c r="K239" s="16">
        <v>0.06</v>
      </c>
      <c r="L239" s="647" t="s">
        <v>657</v>
      </c>
      <c r="M239" s="625" t="s">
        <v>1763</v>
      </c>
      <c r="N239" s="658" t="str">
        <f t="shared" si="3"/>
        <v>京都府城陽市</v>
      </c>
      <c r="O239" s="622">
        <v>10.42</v>
      </c>
      <c r="P239" s="625">
        <v>10.33</v>
      </c>
      <c r="Q239" s="658">
        <v>10.27</v>
      </c>
      <c r="T239" s="1"/>
      <c r="U239" s="1"/>
      <c r="V239" s="1"/>
      <c r="W239" s="1"/>
      <c r="X239" s="1"/>
    </row>
    <row r="240" spans="5:24">
      <c r="E240" s="2"/>
      <c r="G240" s="7" t="s">
        <v>583</v>
      </c>
      <c r="H240" s="7" t="s">
        <v>915</v>
      </c>
      <c r="J240" s="11" t="s">
        <v>810</v>
      </c>
      <c r="K240" s="16">
        <v>0.06</v>
      </c>
      <c r="L240" s="647" t="s">
        <v>657</v>
      </c>
      <c r="M240" s="625" t="s">
        <v>1764</v>
      </c>
      <c r="N240" s="658" t="str">
        <f t="shared" si="3"/>
        <v>京都府向日市</v>
      </c>
      <c r="O240" s="622">
        <v>10.42</v>
      </c>
      <c r="P240" s="625">
        <v>10.33</v>
      </c>
      <c r="Q240" s="658">
        <v>10.27</v>
      </c>
      <c r="T240" s="1"/>
      <c r="U240" s="1"/>
      <c r="V240" s="1"/>
      <c r="W240" s="1"/>
      <c r="X240" s="1"/>
    </row>
    <row r="241" spans="5:24">
      <c r="E241" s="2"/>
      <c r="G241" s="7" t="s">
        <v>583</v>
      </c>
      <c r="H241" s="7" t="s">
        <v>916</v>
      </c>
      <c r="J241" s="11" t="s">
        <v>810</v>
      </c>
      <c r="K241" s="16">
        <v>0.06</v>
      </c>
      <c r="L241" s="647" t="s">
        <v>657</v>
      </c>
      <c r="M241" s="625" t="s">
        <v>1766</v>
      </c>
      <c r="N241" s="658" t="str">
        <f t="shared" si="3"/>
        <v>京都府八幡市</v>
      </c>
      <c r="O241" s="622">
        <v>10.42</v>
      </c>
      <c r="P241" s="625">
        <v>10.33</v>
      </c>
      <c r="Q241" s="658">
        <v>10.27</v>
      </c>
      <c r="T241" s="1"/>
      <c r="U241" s="1"/>
      <c r="V241" s="1"/>
      <c r="W241" s="1"/>
      <c r="X241" s="1"/>
    </row>
    <row r="242" spans="5:24">
      <c r="E242" s="2"/>
      <c r="G242" s="7" t="s">
        <v>583</v>
      </c>
      <c r="H242" s="7" t="s">
        <v>917</v>
      </c>
      <c r="J242" s="11" t="s">
        <v>810</v>
      </c>
      <c r="K242" s="16">
        <v>0.06</v>
      </c>
      <c r="L242" s="647" t="s">
        <v>657</v>
      </c>
      <c r="M242" s="625" t="s">
        <v>1767</v>
      </c>
      <c r="N242" s="658" t="str">
        <f t="shared" si="3"/>
        <v>京都府京田辺市</v>
      </c>
      <c r="O242" s="622">
        <v>10.42</v>
      </c>
      <c r="P242" s="625">
        <v>10.33</v>
      </c>
      <c r="Q242" s="658">
        <v>10.27</v>
      </c>
      <c r="T242" s="1"/>
      <c r="U242" s="1"/>
      <c r="V242" s="1"/>
      <c r="W242" s="1"/>
      <c r="X242" s="1"/>
    </row>
    <row r="243" spans="5:24">
      <c r="E243" s="2"/>
      <c r="G243" s="7" t="s">
        <v>583</v>
      </c>
      <c r="H243" s="7" t="s">
        <v>918</v>
      </c>
      <c r="J243" s="11" t="s">
        <v>810</v>
      </c>
      <c r="K243" s="16">
        <v>0.06</v>
      </c>
      <c r="L243" s="647" t="s">
        <v>657</v>
      </c>
      <c r="M243" s="625" t="s">
        <v>1770</v>
      </c>
      <c r="N243" s="658" t="str">
        <f t="shared" si="3"/>
        <v>京都府木津川市</v>
      </c>
      <c r="O243" s="622">
        <v>10.42</v>
      </c>
      <c r="P243" s="625">
        <v>10.33</v>
      </c>
      <c r="Q243" s="658">
        <v>10.27</v>
      </c>
      <c r="T243" s="1"/>
      <c r="U243" s="1"/>
      <c r="V243" s="1"/>
      <c r="W243" s="1"/>
      <c r="X243" s="1"/>
    </row>
    <row r="244" spans="5:24">
      <c r="E244" s="2"/>
      <c r="G244" s="7" t="s">
        <v>583</v>
      </c>
      <c r="H244" s="7" t="s">
        <v>919</v>
      </c>
      <c r="J244" s="11" t="s">
        <v>810</v>
      </c>
      <c r="K244" s="16">
        <v>0.06</v>
      </c>
      <c r="L244" s="647" t="s">
        <v>657</v>
      </c>
      <c r="M244" s="625" t="s">
        <v>1771</v>
      </c>
      <c r="N244" s="658" t="str">
        <f t="shared" si="3"/>
        <v>京都府大山崎町</v>
      </c>
      <c r="O244" s="622">
        <v>10.42</v>
      </c>
      <c r="P244" s="625">
        <v>10.33</v>
      </c>
      <c r="Q244" s="658">
        <v>10.27</v>
      </c>
      <c r="T244" s="1"/>
      <c r="U244" s="1"/>
      <c r="V244" s="1"/>
      <c r="W244" s="1"/>
      <c r="X244" s="1"/>
    </row>
    <row r="245" spans="5:24">
      <c r="E245" s="2"/>
      <c r="G245" s="7" t="s">
        <v>583</v>
      </c>
      <c r="H245" s="7" t="s">
        <v>920</v>
      </c>
      <c r="J245" s="11" t="s">
        <v>810</v>
      </c>
      <c r="K245" s="16">
        <v>0.06</v>
      </c>
      <c r="L245" s="647" t="s">
        <v>657</v>
      </c>
      <c r="M245" s="625" t="s">
        <v>1777</v>
      </c>
      <c r="N245" s="658" t="str">
        <f t="shared" si="3"/>
        <v>京都府精華町</v>
      </c>
      <c r="O245" s="622">
        <v>10.42</v>
      </c>
      <c r="P245" s="625">
        <v>10.33</v>
      </c>
      <c r="Q245" s="658">
        <v>10.27</v>
      </c>
      <c r="T245" s="1"/>
      <c r="U245" s="1"/>
      <c r="V245" s="1"/>
      <c r="W245" s="1"/>
      <c r="X245" s="1"/>
    </row>
    <row r="246" spans="5:24">
      <c r="E246" s="2"/>
      <c r="G246" s="7" t="s">
        <v>583</v>
      </c>
      <c r="H246" s="7" t="s">
        <v>921</v>
      </c>
      <c r="J246" s="11" t="s">
        <v>810</v>
      </c>
      <c r="K246" s="16">
        <v>0.06</v>
      </c>
      <c r="L246" s="647" t="s">
        <v>661</v>
      </c>
      <c r="M246" s="625" t="s">
        <v>1784</v>
      </c>
      <c r="N246" s="658" t="str">
        <f t="shared" si="3"/>
        <v>大阪府岸和田市</v>
      </c>
      <c r="O246" s="622">
        <v>10.42</v>
      </c>
      <c r="P246" s="625">
        <v>10.33</v>
      </c>
      <c r="Q246" s="658">
        <v>10.27</v>
      </c>
      <c r="T246" s="1"/>
      <c r="U246" s="1"/>
      <c r="V246" s="1"/>
      <c r="W246" s="1"/>
      <c r="X246" s="1"/>
    </row>
    <row r="247" spans="5:24">
      <c r="E247" s="2"/>
      <c r="G247" s="7" t="s">
        <v>583</v>
      </c>
      <c r="H247" s="7" t="s">
        <v>922</v>
      </c>
      <c r="J247" s="11" t="s">
        <v>810</v>
      </c>
      <c r="K247" s="16">
        <v>0.06</v>
      </c>
      <c r="L247" s="647" t="s">
        <v>661</v>
      </c>
      <c r="M247" s="625" t="s">
        <v>1788</v>
      </c>
      <c r="N247" s="658" t="str">
        <f t="shared" si="3"/>
        <v>大阪府泉大津市</v>
      </c>
      <c r="O247" s="622">
        <v>10.42</v>
      </c>
      <c r="P247" s="625">
        <v>10.33</v>
      </c>
      <c r="Q247" s="658">
        <v>10.27</v>
      </c>
      <c r="T247" s="1"/>
      <c r="U247" s="1"/>
      <c r="V247" s="1"/>
      <c r="W247" s="1"/>
      <c r="X247" s="1"/>
    </row>
    <row r="248" spans="5:24">
      <c r="E248" s="2"/>
      <c r="G248" s="7" t="s">
        <v>583</v>
      </c>
      <c r="H248" s="7" t="s">
        <v>923</v>
      </c>
      <c r="J248" s="11" t="s">
        <v>810</v>
      </c>
      <c r="K248" s="16">
        <v>0.06</v>
      </c>
      <c r="L248" s="647" t="s">
        <v>661</v>
      </c>
      <c r="M248" s="625" t="s">
        <v>1790</v>
      </c>
      <c r="N248" s="658" t="str">
        <f t="shared" si="3"/>
        <v>大阪府貝塚市</v>
      </c>
      <c r="O248" s="622">
        <v>10.42</v>
      </c>
      <c r="P248" s="625">
        <v>10.33</v>
      </c>
      <c r="Q248" s="658">
        <v>10.27</v>
      </c>
      <c r="T248" s="1"/>
      <c r="U248" s="1"/>
      <c r="V248" s="1"/>
      <c r="W248" s="1"/>
      <c r="X248" s="1"/>
    </row>
    <row r="249" spans="5:24">
      <c r="E249" s="2"/>
      <c r="G249" s="7" t="s">
        <v>583</v>
      </c>
      <c r="H249" s="7" t="s">
        <v>924</v>
      </c>
      <c r="J249" s="11" t="s">
        <v>810</v>
      </c>
      <c r="K249" s="16">
        <v>0.06</v>
      </c>
      <c r="L249" s="647" t="s">
        <v>661</v>
      </c>
      <c r="M249" s="625" t="s">
        <v>1795</v>
      </c>
      <c r="N249" s="658" t="str">
        <f t="shared" si="3"/>
        <v>大阪府泉佐野市</v>
      </c>
      <c r="O249" s="622">
        <v>10.42</v>
      </c>
      <c r="P249" s="625">
        <v>10.33</v>
      </c>
      <c r="Q249" s="658">
        <v>10.27</v>
      </c>
      <c r="T249" s="1"/>
      <c r="U249" s="1"/>
      <c r="V249" s="1"/>
      <c r="W249" s="1"/>
      <c r="X249" s="1"/>
    </row>
    <row r="250" spans="5:24">
      <c r="E250" s="2"/>
      <c r="G250" s="7" t="s">
        <v>583</v>
      </c>
      <c r="H250" s="7" t="s">
        <v>925</v>
      </c>
      <c r="J250" s="11" t="s">
        <v>810</v>
      </c>
      <c r="K250" s="16">
        <v>0.06</v>
      </c>
      <c r="L250" s="647" t="s">
        <v>661</v>
      </c>
      <c r="M250" s="625" t="s">
        <v>1796</v>
      </c>
      <c r="N250" s="658" t="str">
        <f t="shared" si="3"/>
        <v>大阪府富田林市</v>
      </c>
      <c r="O250" s="622">
        <v>10.42</v>
      </c>
      <c r="P250" s="625">
        <v>10.33</v>
      </c>
      <c r="Q250" s="658">
        <v>10.27</v>
      </c>
      <c r="T250" s="1"/>
      <c r="U250" s="1"/>
      <c r="V250" s="1"/>
      <c r="W250" s="1"/>
      <c r="X250" s="1"/>
    </row>
    <row r="251" spans="5:24">
      <c r="E251" s="2"/>
      <c r="G251" s="7" t="s">
        <v>583</v>
      </c>
      <c r="H251" s="7" t="s">
        <v>926</v>
      </c>
      <c r="J251" s="11" t="s">
        <v>810</v>
      </c>
      <c r="K251" s="16">
        <v>0.06</v>
      </c>
      <c r="L251" s="647" t="s">
        <v>661</v>
      </c>
      <c r="M251" s="625" t="s">
        <v>1798</v>
      </c>
      <c r="N251" s="658" t="str">
        <f t="shared" si="3"/>
        <v>大阪府河内長野市</v>
      </c>
      <c r="O251" s="622">
        <v>10.42</v>
      </c>
      <c r="P251" s="625">
        <v>10.33</v>
      </c>
      <c r="Q251" s="658">
        <v>10.27</v>
      </c>
      <c r="T251" s="1"/>
      <c r="U251" s="1"/>
      <c r="V251" s="1"/>
      <c r="W251" s="1"/>
      <c r="X251" s="1"/>
    </row>
    <row r="252" spans="5:24">
      <c r="E252" s="2"/>
      <c r="G252" s="7" t="s">
        <v>583</v>
      </c>
      <c r="H252" s="7" t="s">
        <v>927</v>
      </c>
      <c r="J252" s="11" t="s">
        <v>810</v>
      </c>
      <c r="K252" s="16">
        <v>0.06</v>
      </c>
      <c r="L252" s="647" t="s">
        <v>661</v>
      </c>
      <c r="M252" s="625" t="s">
        <v>1801</v>
      </c>
      <c r="N252" s="658" t="str">
        <f t="shared" si="3"/>
        <v>大阪府和泉市</v>
      </c>
      <c r="O252" s="622">
        <v>10.42</v>
      </c>
      <c r="P252" s="625">
        <v>10.33</v>
      </c>
      <c r="Q252" s="658">
        <v>10.27</v>
      </c>
      <c r="T252" s="1"/>
      <c r="U252" s="1"/>
      <c r="V252" s="1"/>
      <c r="W252" s="1"/>
      <c r="X252" s="1"/>
    </row>
    <row r="253" spans="5:24">
      <c r="E253" s="2"/>
      <c r="G253" s="7" t="s">
        <v>583</v>
      </c>
      <c r="H253" s="7" t="s">
        <v>928</v>
      </c>
      <c r="J253" s="11" t="s">
        <v>810</v>
      </c>
      <c r="K253" s="16">
        <v>0.06</v>
      </c>
      <c r="L253" s="647" t="s">
        <v>661</v>
      </c>
      <c r="M253" s="625" t="s">
        <v>1803</v>
      </c>
      <c r="N253" s="658" t="str">
        <f t="shared" si="3"/>
        <v>大阪府柏原市</v>
      </c>
      <c r="O253" s="622">
        <v>10.42</v>
      </c>
      <c r="P253" s="625">
        <v>10.33</v>
      </c>
      <c r="Q253" s="658">
        <v>10.27</v>
      </c>
      <c r="T253" s="1"/>
      <c r="U253" s="1"/>
      <c r="V253" s="1"/>
      <c r="W253" s="1"/>
      <c r="X253" s="1"/>
    </row>
    <row r="254" spans="5:24">
      <c r="E254" s="2"/>
      <c r="G254" s="7" t="s">
        <v>583</v>
      </c>
      <c r="H254" s="7" t="s">
        <v>929</v>
      </c>
      <c r="J254" s="11" t="s">
        <v>810</v>
      </c>
      <c r="K254" s="16">
        <v>0.06</v>
      </c>
      <c r="L254" s="647" t="s">
        <v>661</v>
      </c>
      <c r="M254" s="625" t="s">
        <v>1804</v>
      </c>
      <c r="N254" s="658" t="str">
        <f t="shared" si="3"/>
        <v>大阪府羽曳野市</v>
      </c>
      <c r="O254" s="622">
        <v>10.42</v>
      </c>
      <c r="P254" s="625">
        <v>10.33</v>
      </c>
      <c r="Q254" s="658">
        <v>10.27</v>
      </c>
      <c r="T254" s="1"/>
      <c r="U254" s="1"/>
      <c r="V254" s="1"/>
      <c r="W254" s="1"/>
      <c r="X254" s="1"/>
    </row>
    <row r="255" spans="5:24">
      <c r="E255" s="2"/>
      <c r="G255" s="7" t="s">
        <v>583</v>
      </c>
      <c r="H255" s="7" t="s">
        <v>930</v>
      </c>
      <c r="J255" s="11" t="s">
        <v>810</v>
      </c>
      <c r="K255" s="16">
        <v>0.06</v>
      </c>
      <c r="L255" s="647" t="s">
        <v>661</v>
      </c>
      <c r="M255" s="625" t="s">
        <v>1808</v>
      </c>
      <c r="N255" s="658" t="str">
        <f t="shared" si="3"/>
        <v>大阪府藤井寺市</v>
      </c>
      <c r="O255" s="622">
        <v>10.42</v>
      </c>
      <c r="P255" s="625">
        <v>10.33</v>
      </c>
      <c r="Q255" s="658">
        <v>10.27</v>
      </c>
      <c r="T255" s="1"/>
      <c r="U255" s="1"/>
      <c r="V255" s="1"/>
      <c r="W255" s="1"/>
      <c r="X255" s="1"/>
    </row>
    <row r="256" spans="5:24">
      <c r="E256" s="2"/>
      <c r="G256" s="7" t="s">
        <v>583</v>
      </c>
      <c r="H256" s="7" t="s">
        <v>931</v>
      </c>
      <c r="J256" s="11" t="s">
        <v>810</v>
      </c>
      <c r="K256" s="16">
        <v>0.06</v>
      </c>
      <c r="L256" s="647" t="s">
        <v>661</v>
      </c>
      <c r="M256" s="625" t="s">
        <v>1810</v>
      </c>
      <c r="N256" s="658" t="str">
        <f t="shared" si="3"/>
        <v>大阪府泉南市</v>
      </c>
      <c r="O256" s="622">
        <v>10.42</v>
      </c>
      <c r="P256" s="625">
        <v>10.33</v>
      </c>
      <c r="Q256" s="658">
        <v>10.27</v>
      </c>
      <c r="T256" s="1"/>
      <c r="U256" s="1"/>
      <c r="V256" s="1"/>
      <c r="W256" s="1"/>
      <c r="X256" s="1"/>
    </row>
    <row r="257" spans="5:24">
      <c r="E257" s="2"/>
      <c r="G257" s="7" t="s">
        <v>583</v>
      </c>
      <c r="H257" s="7" t="s">
        <v>932</v>
      </c>
      <c r="J257" s="11" t="s">
        <v>810</v>
      </c>
      <c r="K257" s="16">
        <v>0.06</v>
      </c>
      <c r="L257" s="647" t="s">
        <v>661</v>
      </c>
      <c r="M257" s="625" t="s">
        <v>1813</v>
      </c>
      <c r="N257" s="658" t="str">
        <f t="shared" si="3"/>
        <v>大阪府大阪狭山市</v>
      </c>
      <c r="O257" s="622">
        <v>10.42</v>
      </c>
      <c r="P257" s="625">
        <v>10.33</v>
      </c>
      <c r="Q257" s="658">
        <v>10.27</v>
      </c>
      <c r="T257" s="1"/>
      <c r="U257" s="1"/>
      <c r="V257" s="1"/>
      <c r="W257" s="1"/>
      <c r="X257" s="1"/>
    </row>
    <row r="258" spans="5:24">
      <c r="E258" s="2"/>
      <c r="G258" s="7" t="s">
        <v>583</v>
      </c>
      <c r="H258" s="7" t="s">
        <v>933</v>
      </c>
      <c r="J258" s="11" t="s">
        <v>810</v>
      </c>
      <c r="K258" s="16">
        <v>0.06</v>
      </c>
      <c r="L258" s="647" t="s">
        <v>661</v>
      </c>
      <c r="M258" s="625" t="s">
        <v>1814</v>
      </c>
      <c r="N258" s="658" t="str">
        <f t="shared" si="3"/>
        <v>大阪府阪南市</v>
      </c>
      <c r="O258" s="622">
        <v>10.42</v>
      </c>
      <c r="P258" s="625">
        <v>10.33</v>
      </c>
      <c r="Q258" s="658">
        <v>10.27</v>
      </c>
      <c r="T258" s="1"/>
      <c r="U258" s="1"/>
      <c r="V258" s="1"/>
      <c r="W258" s="1"/>
      <c r="X258" s="1"/>
    </row>
    <row r="259" spans="5:24">
      <c r="E259" s="2"/>
      <c r="G259" s="7" t="s">
        <v>583</v>
      </c>
      <c r="H259" s="7" t="s">
        <v>934</v>
      </c>
      <c r="J259" s="11" t="s">
        <v>810</v>
      </c>
      <c r="K259" s="16">
        <v>0.06</v>
      </c>
      <c r="L259" s="647" t="s">
        <v>661</v>
      </c>
      <c r="M259" s="625" t="s">
        <v>1815</v>
      </c>
      <c r="N259" s="658" t="str">
        <f t="shared" si="3"/>
        <v>大阪府島本町</v>
      </c>
      <c r="O259" s="622">
        <v>10.42</v>
      </c>
      <c r="P259" s="625">
        <v>10.33</v>
      </c>
      <c r="Q259" s="658">
        <v>10.27</v>
      </c>
      <c r="T259" s="1"/>
      <c r="U259" s="1"/>
      <c r="V259" s="1"/>
      <c r="W259" s="1"/>
      <c r="X259" s="1"/>
    </row>
    <row r="260" spans="5:24">
      <c r="E260" s="2"/>
      <c r="G260" s="7" t="s">
        <v>583</v>
      </c>
      <c r="H260" s="7" t="s">
        <v>935</v>
      </c>
      <c r="J260" s="11" t="s">
        <v>810</v>
      </c>
      <c r="K260" s="16">
        <v>0.06</v>
      </c>
      <c r="L260" s="647" t="s">
        <v>661</v>
      </c>
      <c r="M260" s="625" t="s">
        <v>1816</v>
      </c>
      <c r="N260" s="658" t="str">
        <f t="shared" ref="N260:N323" si="4">L260&amp;M260</f>
        <v>大阪府豊能町</v>
      </c>
      <c r="O260" s="622">
        <v>10.42</v>
      </c>
      <c r="P260" s="625">
        <v>10.33</v>
      </c>
      <c r="Q260" s="658">
        <v>10.27</v>
      </c>
      <c r="T260" s="1"/>
      <c r="U260" s="1"/>
      <c r="V260" s="1"/>
      <c r="W260" s="1"/>
      <c r="X260" s="1"/>
    </row>
    <row r="261" spans="5:24">
      <c r="E261" s="2"/>
      <c r="G261" s="7" t="s">
        <v>587</v>
      </c>
      <c r="H261" s="7" t="s">
        <v>936</v>
      </c>
      <c r="J261" s="11" t="s">
        <v>810</v>
      </c>
      <c r="K261" s="16">
        <v>0.06</v>
      </c>
      <c r="L261" s="647" t="s">
        <v>661</v>
      </c>
      <c r="M261" s="625" t="s">
        <v>1817</v>
      </c>
      <c r="N261" s="658" t="str">
        <f t="shared" si="4"/>
        <v>大阪府能勢町</v>
      </c>
      <c r="O261" s="622">
        <v>10.42</v>
      </c>
      <c r="P261" s="625">
        <v>10.33</v>
      </c>
      <c r="Q261" s="658">
        <v>10.27</v>
      </c>
      <c r="T261" s="1"/>
      <c r="U261" s="1"/>
      <c r="V261" s="1"/>
      <c r="W261" s="1"/>
      <c r="X261" s="1"/>
    </row>
    <row r="262" spans="5:24">
      <c r="E262" s="2"/>
      <c r="G262" s="7" t="s">
        <v>587</v>
      </c>
      <c r="H262" s="7" t="s">
        <v>937</v>
      </c>
      <c r="J262" s="11" t="s">
        <v>810</v>
      </c>
      <c r="K262" s="16">
        <v>0.06</v>
      </c>
      <c r="L262" s="647" t="s">
        <v>661</v>
      </c>
      <c r="M262" s="625" t="s">
        <v>1818</v>
      </c>
      <c r="N262" s="658" t="str">
        <f t="shared" si="4"/>
        <v>大阪府忠岡町</v>
      </c>
      <c r="O262" s="622">
        <v>10.42</v>
      </c>
      <c r="P262" s="625">
        <v>10.33</v>
      </c>
      <c r="Q262" s="658">
        <v>10.27</v>
      </c>
      <c r="T262" s="1"/>
      <c r="U262" s="1"/>
      <c r="V262" s="1"/>
      <c r="W262" s="1"/>
      <c r="X262" s="1"/>
    </row>
    <row r="263" spans="5:24">
      <c r="E263" s="2"/>
      <c r="G263" s="7" t="s">
        <v>587</v>
      </c>
      <c r="H263" s="7" t="s">
        <v>938</v>
      </c>
      <c r="J263" s="11" t="s">
        <v>810</v>
      </c>
      <c r="K263" s="16">
        <v>0.06</v>
      </c>
      <c r="L263" s="647" t="s">
        <v>661</v>
      </c>
      <c r="M263" s="625" t="s">
        <v>1819</v>
      </c>
      <c r="N263" s="658" t="str">
        <f t="shared" si="4"/>
        <v>大阪府熊取町</v>
      </c>
      <c r="O263" s="622">
        <v>10.42</v>
      </c>
      <c r="P263" s="625">
        <v>10.33</v>
      </c>
      <c r="Q263" s="658">
        <v>10.27</v>
      </c>
      <c r="T263" s="1"/>
      <c r="U263" s="1"/>
      <c r="V263" s="1"/>
      <c r="W263" s="1"/>
      <c r="X263" s="1"/>
    </row>
    <row r="264" spans="5:24">
      <c r="E264" s="2"/>
      <c r="G264" s="7" t="s">
        <v>587</v>
      </c>
      <c r="H264" s="7" t="s">
        <v>939</v>
      </c>
      <c r="J264" s="11" t="s">
        <v>810</v>
      </c>
      <c r="K264" s="16">
        <v>0.06</v>
      </c>
      <c r="L264" s="647" t="s">
        <v>661</v>
      </c>
      <c r="M264" s="625" t="s">
        <v>1820</v>
      </c>
      <c r="N264" s="658" t="str">
        <f t="shared" si="4"/>
        <v>大阪府田尻町</v>
      </c>
      <c r="O264" s="622">
        <v>10.42</v>
      </c>
      <c r="P264" s="625">
        <v>10.33</v>
      </c>
      <c r="Q264" s="658">
        <v>10.27</v>
      </c>
      <c r="T264" s="1"/>
      <c r="U264" s="1"/>
      <c r="V264" s="1"/>
      <c r="W264" s="1"/>
      <c r="X264" s="1"/>
    </row>
    <row r="265" spans="5:24">
      <c r="E265" s="2"/>
      <c r="G265" s="7" t="s">
        <v>587</v>
      </c>
      <c r="H265" s="7" t="s">
        <v>940</v>
      </c>
      <c r="J265" s="11" t="s">
        <v>810</v>
      </c>
      <c r="K265" s="16">
        <v>0.06</v>
      </c>
      <c r="L265" s="647" t="s">
        <v>661</v>
      </c>
      <c r="M265" s="625" t="s">
        <v>1821</v>
      </c>
      <c r="N265" s="658" t="str">
        <f t="shared" si="4"/>
        <v>大阪府岬町</v>
      </c>
      <c r="O265" s="622">
        <v>10.42</v>
      </c>
      <c r="P265" s="625">
        <v>10.33</v>
      </c>
      <c r="Q265" s="658">
        <v>10.27</v>
      </c>
      <c r="T265" s="1"/>
      <c r="U265" s="1"/>
      <c r="V265" s="1"/>
      <c r="W265" s="1"/>
      <c r="X265" s="1"/>
    </row>
    <row r="266" spans="5:24">
      <c r="E266" s="2"/>
      <c r="G266" s="7" t="s">
        <v>587</v>
      </c>
      <c r="H266" s="7" t="s">
        <v>941</v>
      </c>
      <c r="J266" s="11" t="s">
        <v>810</v>
      </c>
      <c r="K266" s="16">
        <v>0.06</v>
      </c>
      <c r="L266" s="647" t="s">
        <v>661</v>
      </c>
      <c r="M266" s="625" t="s">
        <v>2527</v>
      </c>
      <c r="N266" s="658" t="str">
        <f t="shared" si="4"/>
        <v>大阪府太子町</v>
      </c>
      <c r="O266" s="622">
        <v>10.42</v>
      </c>
      <c r="P266" s="625">
        <v>10.33</v>
      </c>
      <c r="Q266" s="658">
        <v>10.27</v>
      </c>
      <c r="T266" s="1"/>
      <c r="U266" s="1"/>
      <c r="V266" s="1"/>
      <c r="W266" s="1"/>
      <c r="X266" s="1"/>
    </row>
    <row r="267" spans="5:24">
      <c r="E267" s="2"/>
      <c r="G267" s="7" t="s">
        <v>587</v>
      </c>
      <c r="H267" s="7" t="s">
        <v>942</v>
      </c>
      <c r="J267" s="11" t="s">
        <v>810</v>
      </c>
      <c r="K267" s="16">
        <v>0.06</v>
      </c>
      <c r="L267" s="647" t="s">
        <v>661</v>
      </c>
      <c r="M267" s="625" t="s">
        <v>1823</v>
      </c>
      <c r="N267" s="658" t="str">
        <f t="shared" si="4"/>
        <v>大阪府河南町</v>
      </c>
      <c r="O267" s="622">
        <v>10.42</v>
      </c>
      <c r="P267" s="625">
        <v>10.33</v>
      </c>
      <c r="Q267" s="658">
        <v>10.27</v>
      </c>
      <c r="T267" s="1"/>
      <c r="U267" s="1"/>
      <c r="V267" s="1"/>
      <c r="W267" s="1"/>
      <c r="X267" s="1"/>
    </row>
    <row r="268" spans="5:24">
      <c r="E268" s="2"/>
      <c r="G268" s="7" t="s">
        <v>587</v>
      </c>
      <c r="H268" s="7" t="s">
        <v>943</v>
      </c>
      <c r="J268" s="11" t="s">
        <v>810</v>
      </c>
      <c r="K268" s="16">
        <v>0.06</v>
      </c>
      <c r="L268" s="647" t="s">
        <v>661</v>
      </c>
      <c r="M268" s="625" t="s">
        <v>1824</v>
      </c>
      <c r="N268" s="658" t="str">
        <f t="shared" si="4"/>
        <v>大阪府千早赤阪村</v>
      </c>
      <c r="O268" s="622">
        <v>10.42</v>
      </c>
      <c r="P268" s="625">
        <v>10.33</v>
      </c>
      <c r="Q268" s="658">
        <v>10.27</v>
      </c>
      <c r="T268" s="1"/>
      <c r="U268" s="1"/>
      <c r="V268" s="1"/>
      <c r="W268" s="1"/>
      <c r="X268" s="1"/>
    </row>
    <row r="269" spans="5:24">
      <c r="E269" s="2"/>
      <c r="G269" s="7" t="s">
        <v>587</v>
      </c>
      <c r="H269" s="7" t="s">
        <v>944</v>
      </c>
      <c r="J269" s="11" t="s">
        <v>810</v>
      </c>
      <c r="K269" s="16">
        <v>0.06</v>
      </c>
      <c r="L269" s="647" t="s">
        <v>665</v>
      </c>
      <c r="M269" s="625" t="s">
        <v>1828</v>
      </c>
      <c r="N269" s="658" t="str">
        <f t="shared" si="4"/>
        <v>兵庫県明石市</v>
      </c>
      <c r="O269" s="622">
        <v>10.42</v>
      </c>
      <c r="P269" s="625">
        <v>10.33</v>
      </c>
      <c r="Q269" s="658">
        <v>10.27</v>
      </c>
      <c r="T269" s="1"/>
      <c r="U269" s="1"/>
      <c r="V269" s="1"/>
      <c r="W269" s="1"/>
      <c r="X269" s="1"/>
    </row>
    <row r="270" spans="5:24">
      <c r="E270" s="2"/>
      <c r="G270" s="7" t="s">
        <v>587</v>
      </c>
      <c r="H270" s="7" t="s">
        <v>945</v>
      </c>
      <c r="J270" s="11" t="s">
        <v>810</v>
      </c>
      <c r="K270" s="16">
        <v>0.06</v>
      </c>
      <c r="L270" s="647" t="s">
        <v>665</v>
      </c>
      <c r="M270" s="625" t="s">
        <v>1854</v>
      </c>
      <c r="N270" s="658" t="str">
        <f t="shared" si="4"/>
        <v>兵庫県猪名川町</v>
      </c>
      <c r="O270" s="622">
        <v>10.42</v>
      </c>
      <c r="P270" s="625">
        <v>10.33</v>
      </c>
      <c r="Q270" s="658">
        <v>10.27</v>
      </c>
      <c r="T270" s="1"/>
      <c r="U270" s="1"/>
      <c r="V270" s="1"/>
      <c r="W270" s="1"/>
      <c r="X270" s="1"/>
    </row>
    <row r="271" spans="5:24">
      <c r="E271" s="2"/>
      <c r="G271" s="7" t="s">
        <v>587</v>
      </c>
      <c r="H271" s="7" t="s">
        <v>946</v>
      </c>
      <c r="J271" s="11" t="s">
        <v>810</v>
      </c>
      <c r="K271" s="16">
        <v>0.06</v>
      </c>
      <c r="L271" s="647" t="s">
        <v>668</v>
      </c>
      <c r="M271" s="625" t="s">
        <v>1865</v>
      </c>
      <c r="N271" s="658" t="str">
        <f t="shared" si="4"/>
        <v>奈良県奈良市</v>
      </c>
      <c r="O271" s="622">
        <v>10.42</v>
      </c>
      <c r="P271" s="625">
        <v>10.33</v>
      </c>
      <c r="Q271" s="658">
        <v>10.27</v>
      </c>
      <c r="T271" s="1"/>
      <c r="U271" s="1"/>
      <c r="V271" s="1"/>
      <c r="W271" s="1"/>
      <c r="X271" s="1"/>
    </row>
    <row r="272" spans="5:24">
      <c r="E272" s="2"/>
      <c r="G272" s="7" t="s">
        <v>587</v>
      </c>
      <c r="H272" s="7" t="s">
        <v>947</v>
      </c>
      <c r="J272" s="11" t="s">
        <v>810</v>
      </c>
      <c r="K272" s="16">
        <v>0.06</v>
      </c>
      <c r="L272" s="647" t="s">
        <v>668</v>
      </c>
      <c r="M272" s="625" t="s">
        <v>1867</v>
      </c>
      <c r="N272" s="658" t="str">
        <f t="shared" si="4"/>
        <v>奈良県大和郡山市</v>
      </c>
      <c r="O272" s="622">
        <v>10.42</v>
      </c>
      <c r="P272" s="625">
        <v>10.33</v>
      </c>
      <c r="Q272" s="658">
        <v>10.27</v>
      </c>
      <c r="T272" s="1"/>
      <c r="U272" s="1"/>
      <c r="V272" s="1"/>
      <c r="W272" s="1"/>
      <c r="X272" s="1"/>
    </row>
    <row r="273" spans="5:24">
      <c r="E273" s="2"/>
      <c r="G273" s="7" t="s">
        <v>587</v>
      </c>
      <c r="H273" s="7" t="s">
        <v>948</v>
      </c>
      <c r="J273" s="11" t="s">
        <v>810</v>
      </c>
      <c r="K273" s="16">
        <v>0.06</v>
      </c>
      <c r="L273" s="647" t="s">
        <v>668</v>
      </c>
      <c r="M273" s="625" t="s">
        <v>1873</v>
      </c>
      <c r="N273" s="658" t="str">
        <f t="shared" si="4"/>
        <v>奈良県生駒市</v>
      </c>
      <c r="O273" s="622">
        <v>10.42</v>
      </c>
      <c r="P273" s="625">
        <v>10.33</v>
      </c>
      <c r="Q273" s="658">
        <v>10.27</v>
      </c>
      <c r="T273" s="1"/>
      <c r="U273" s="1"/>
      <c r="V273" s="1"/>
      <c r="W273" s="1"/>
      <c r="X273" s="1"/>
    </row>
    <row r="274" spans="5:24">
      <c r="E274" s="2"/>
      <c r="G274" s="7" t="s">
        <v>587</v>
      </c>
      <c r="H274" s="7" t="s">
        <v>949</v>
      </c>
      <c r="J274" s="11" t="s">
        <v>810</v>
      </c>
      <c r="K274" s="16">
        <v>0.06</v>
      </c>
      <c r="L274" s="647" t="s">
        <v>671</v>
      </c>
      <c r="M274" s="625" t="s">
        <v>1902</v>
      </c>
      <c r="N274" s="658" t="str">
        <f t="shared" si="4"/>
        <v>和歌山県和歌山市</v>
      </c>
      <c r="O274" s="622">
        <v>10.42</v>
      </c>
      <c r="P274" s="625">
        <v>10.33</v>
      </c>
      <c r="Q274" s="658">
        <v>10.27</v>
      </c>
      <c r="T274" s="1"/>
      <c r="U274" s="1"/>
      <c r="V274" s="1"/>
      <c r="W274" s="1"/>
      <c r="X274" s="1"/>
    </row>
    <row r="275" spans="5:24">
      <c r="E275" s="2"/>
      <c r="G275" s="7" t="s">
        <v>587</v>
      </c>
      <c r="H275" s="7" t="s">
        <v>950</v>
      </c>
      <c r="J275" s="11" t="s">
        <v>810</v>
      </c>
      <c r="K275" s="16">
        <v>0.06</v>
      </c>
      <c r="L275" s="647" t="s">
        <v>671</v>
      </c>
      <c r="M275" s="625" t="s">
        <v>1904</v>
      </c>
      <c r="N275" s="658" t="str">
        <f t="shared" si="4"/>
        <v>和歌山県橋本市</v>
      </c>
      <c r="O275" s="622">
        <v>10.42</v>
      </c>
      <c r="P275" s="625">
        <v>10.33</v>
      </c>
      <c r="Q275" s="658">
        <v>10.27</v>
      </c>
      <c r="T275" s="1"/>
      <c r="U275" s="1"/>
      <c r="V275" s="1"/>
      <c r="W275" s="1"/>
      <c r="X275" s="1"/>
    </row>
    <row r="276" spans="5:24">
      <c r="E276" s="2"/>
      <c r="G276" s="7" t="s">
        <v>587</v>
      </c>
      <c r="H276" s="7" t="s">
        <v>952</v>
      </c>
      <c r="J276" s="11" t="s">
        <v>810</v>
      </c>
      <c r="K276" s="16">
        <v>0.06</v>
      </c>
      <c r="L276" s="647" t="s">
        <v>704</v>
      </c>
      <c r="M276" s="625" t="s">
        <v>2144</v>
      </c>
      <c r="N276" s="658" t="str">
        <f t="shared" si="4"/>
        <v>福岡県大野城市</v>
      </c>
      <c r="O276" s="622">
        <v>10.42</v>
      </c>
      <c r="P276" s="625">
        <v>10.33</v>
      </c>
      <c r="Q276" s="658">
        <v>10.27</v>
      </c>
      <c r="T276" s="1"/>
      <c r="U276" s="1"/>
      <c r="V276" s="1"/>
      <c r="W276" s="1"/>
      <c r="X276" s="1"/>
    </row>
    <row r="277" spans="5:24">
      <c r="E277" s="2"/>
      <c r="G277" s="7" t="s">
        <v>587</v>
      </c>
      <c r="H277" s="7" t="s">
        <v>953</v>
      </c>
      <c r="J277" s="11" t="s">
        <v>810</v>
      </c>
      <c r="K277" s="16">
        <v>0.06</v>
      </c>
      <c r="L277" s="647" t="s">
        <v>704</v>
      </c>
      <c r="M277" s="625" t="s">
        <v>2146</v>
      </c>
      <c r="N277" s="658" t="str">
        <f t="shared" si="4"/>
        <v>福岡県太宰府市</v>
      </c>
      <c r="O277" s="622">
        <v>10.42</v>
      </c>
      <c r="P277" s="625">
        <v>10.33</v>
      </c>
      <c r="Q277" s="658">
        <v>10.27</v>
      </c>
      <c r="T277" s="1"/>
      <c r="U277" s="1"/>
      <c r="V277" s="1"/>
      <c r="W277" s="1"/>
      <c r="X277" s="1"/>
    </row>
    <row r="278" spans="5:24">
      <c r="E278" s="2"/>
      <c r="G278" s="7" t="s">
        <v>587</v>
      </c>
      <c r="H278" s="7" t="s">
        <v>954</v>
      </c>
      <c r="J278" s="11" t="s">
        <v>810</v>
      </c>
      <c r="K278" s="16">
        <v>0.06</v>
      </c>
      <c r="L278" s="647" t="s">
        <v>704</v>
      </c>
      <c r="M278" s="625" t="s">
        <v>2148</v>
      </c>
      <c r="N278" s="658" t="str">
        <f t="shared" si="4"/>
        <v>福岡県福津市</v>
      </c>
      <c r="O278" s="622">
        <v>10.42</v>
      </c>
      <c r="P278" s="625">
        <v>10.33</v>
      </c>
      <c r="Q278" s="658">
        <v>10.27</v>
      </c>
      <c r="T278" s="1"/>
      <c r="U278" s="1"/>
      <c r="V278" s="1"/>
      <c r="W278" s="1"/>
      <c r="X278" s="1"/>
    </row>
    <row r="279" spans="5:24">
      <c r="E279" s="2"/>
      <c r="G279" s="7" t="s">
        <v>587</v>
      </c>
      <c r="H279" s="7" t="s">
        <v>955</v>
      </c>
      <c r="J279" s="11" t="s">
        <v>810</v>
      </c>
      <c r="K279" s="16">
        <v>0.06</v>
      </c>
      <c r="L279" s="647" t="s">
        <v>704</v>
      </c>
      <c r="M279" s="625" t="s">
        <v>2154</v>
      </c>
      <c r="N279" s="658" t="str">
        <f t="shared" si="4"/>
        <v>福岡県糸島市</v>
      </c>
      <c r="O279" s="622">
        <v>10.42</v>
      </c>
      <c r="P279" s="625">
        <v>10.33</v>
      </c>
      <c r="Q279" s="658">
        <v>10.27</v>
      </c>
      <c r="T279" s="1"/>
      <c r="U279" s="1"/>
      <c r="V279" s="1"/>
      <c r="W279" s="1"/>
      <c r="X279" s="1"/>
    </row>
    <row r="280" spans="5:24">
      <c r="E280" s="2"/>
      <c r="G280" s="7" t="s">
        <v>587</v>
      </c>
      <c r="H280" s="7" t="s">
        <v>956</v>
      </c>
      <c r="J280" s="11" t="s">
        <v>810</v>
      </c>
      <c r="K280" s="16">
        <v>0.06</v>
      </c>
      <c r="L280" s="647" t="s">
        <v>704</v>
      </c>
      <c r="M280" s="625" t="s">
        <v>2446</v>
      </c>
      <c r="N280" s="658" t="str">
        <f t="shared" si="4"/>
        <v>福岡県那珂川市</v>
      </c>
      <c r="O280" s="622">
        <v>10.42</v>
      </c>
      <c r="P280" s="625">
        <v>10.33</v>
      </c>
      <c r="Q280" s="658">
        <v>10.27</v>
      </c>
      <c r="T280" s="1"/>
      <c r="U280" s="1"/>
      <c r="V280" s="1"/>
      <c r="W280" s="1"/>
      <c r="X280" s="1"/>
    </row>
    <row r="281" spans="5:24" ht="13.8" thickBot="1">
      <c r="E281" s="2"/>
      <c r="G281" s="7" t="s">
        <v>587</v>
      </c>
      <c r="H281" s="7" t="s">
        <v>957</v>
      </c>
      <c r="J281" s="17" t="s">
        <v>810</v>
      </c>
      <c r="K281" s="18">
        <v>0.06</v>
      </c>
      <c r="L281" s="653" t="s">
        <v>704</v>
      </c>
      <c r="M281" s="650" t="s">
        <v>2163</v>
      </c>
      <c r="N281" s="671" t="str">
        <f t="shared" si="4"/>
        <v>福岡県粕屋町</v>
      </c>
      <c r="O281" s="651">
        <v>10.42</v>
      </c>
      <c r="P281" s="650">
        <v>10.33</v>
      </c>
      <c r="Q281" s="660">
        <v>10.27</v>
      </c>
      <c r="T281" s="1"/>
      <c r="U281" s="1"/>
      <c r="V281" s="1"/>
      <c r="W281" s="1"/>
      <c r="X281" s="1"/>
    </row>
    <row r="282" spans="5:24">
      <c r="E282" s="2"/>
      <c r="G282" s="7" t="s">
        <v>587</v>
      </c>
      <c r="H282" s="7" t="s">
        <v>958</v>
      </c>
      <c r="J282" s="13" t="s">
        <v>951</v>
      </c>
      <c r="K282" s="136">
        <v>0.03</v>
      </c>
      <c r="L282" s="655" t="s">
        <v>570</v>
      </c>
      <c r="M282" s="656" t="s">
        <v>571</v>
      </c>
      <c r="N282" s="663" t="str">
        <f t="shared" si="4"/>
        <v>北海道札幌市</v>
      </c>
      <c r="O282" s="672">
        <v>10.210000000000001</v>
      </c>
      <c r="P282" s="656">
        <v>10.17</v>
      </c>
      <c r="Q282" s="662">
        <v>10.14</v>
      </c>
      <c r="T282" s="1"/>
      <c r="U282" s="1"/>
      <c r="V282" s="1"/>
      <c r="W282" s="1"/>
      <c r="X282" s="1"/>
    </row>
    <row r="283" spans="5:24">
      <c r="E283" s="2"/>
      <c r="G283" s="7" t="s">
        <v>587</v>
      </c>
      <c r="H283" s="7" t="s">
        <v>959</v>
      </c>
      <c r="J283" s="11" t="s">
        <v>951</v>
      </c>
      <c r="K283" s="16">
        <v>0.03</v>
      </c>
      <c r="L283" s="634" t="s">
        <v>603</v>
      </c>
      <c r="M283" s="625" t="s">
        <v>1094</v>
      </c>
      <c r="N283" s="642" t="str">
        <f t="shared" si="4"/>
        <v>茨城県結城市</v>
      </c>
      <c r="O283" s="622">
        <v>10.210000000000001</v>
      </c>
      <c r="P283" s="625">
        <v>10.17</v>
      </c>
      <c r="Q283" s="658">
        <v>10.14</v>
      </c>
      <c r="T283" s="1"/>
      <c r="U283" s="1"/>
      <c r="V283" s="1"/>
      <c r="W283" s="1"/>
      <c r="X283" s="1"/>
    </row>
    <row r="284" spans="5:24">
      <c r="E284" s="2"/>
      <c r="G284" s="7" t="s">
        <v>587</v>
      </c>
      <c r="H284" s="7" t="s">
        <v>960</v>
      </c>
      <c r="J284" s="11" t="s">
        <v>951</v>
      </c>
      <c r="K284" s="16">
        <v>0.03</v>
      </c>
      <c r="L284" s="634" t="s">
        <v>603</v>
      </c>
      <c r="M284" s="625" t="s">
        <v>1096</v>
      </c>
      <c r="N284" s="642" t="str">
        <f t="shared" si="4"/>
        <v>茨城県下妻市</v>
      </c>
      <c r="O284" s="622">
        <v>10.210000000000001</v>
      </c>
      <c r="P284" s="625">
        <v>10.17</v>
      </c>
      <c r="Q284" s="658">
        <v>10.14</v>
      </c>
      <c r="T284" s="1"/>
      <c r="U284" s="1"/>
      <c r="V284" s="1"/>
      <c r="W284" s="1"/>
      <c r="X284" s="1"/>
    </row>
    <row r="285" spans="5:24">
      <c r="E285" s="2"/>
      <c r="G285" s="7" t="s">
        <v>587</v>
      </c>
      <c r="H285" s="7" t="s">
        <v>961</v>
      </c>
      <c r="J285" s="11" t="s">
        <v>951</v>
      </c>
      <c r="K285" s="16">
        <v>0.03</v>
      </c>
      <c r="L285" s="634" t="s">
        <v>603</v>
      </c>
      <c r="M285" s="625" t="s">
        <v>1097</v>
      </c>
      <c r="N285" s="642" t="str">
        <f t="shared" si="4"/>
        <v>茨城県常総市</v>
      </c>
      <c r="O285" s="622">
        <v>10.210000000000001</v>
      </c>
      <c r="P285" s="625">
        <v>10.17</v>
      </c>
      <c r="Q285" s="658">
        <v>10.14</v>
      </c>
      <c r="T285" s="1"/>
      <c r="U285" s="1"/>
      <c r="V285" s="1"/>
      <c r="W285" s="1"/>
      <c r="X285" s="1"/>
    </row>
    <row r="286" spans="5:24">
      <c r="E286" s="2"/>
      <c r="G286" s="7" t="s">
        <v>587</v>
      </c>
      <c r="H286" s="7" t="s">
        <v>962</v>
      </c>
      <c r="J286" s="11" t="s">
        <v>951</v>
      </c>
      <c r="K286" s="16">
        <v>0.03</v>
      </c>
      <c r="L286" s="634" t="s">
        <v>603</v>
      </c>
      <c r="M286" s="625" t="s">
        <v>1101</v>
      </c>
      <c r="N286" s="642" t="str">
        <f t="shared" si="4"/>
        <v>茨城県笠間市</v>
      </c>
      <c r="O286" s="622">
        <v>10.210000000000001</v>
      </c>
      <c r="P286" s="625">
        <v>10.17</v>
      </c>
      <c r="Q286" s="658">
        <v>10.14</v>
      </c>
      <c r="T286" s="1"/>
      <c r="U286" s="1"/>
      <c r="V286" s="1"/>
      <c r="W286" s="1"/>
      <c r="X286" s="1"/>
    </row>
    <row r="287" spans="5:24">
      <c r="E287" s="2"/>
      <c r="G287" s="7" t="s">
        <v>587</v>
      </c>
      <c r="H287" s="7" t="s">
        <v>963</v>
      </c>
      <c r="J287" s="11" t="s">
        <v>951</v>
      </c>
      <c r="K287" s="16">
        <v>0.03</v>
      </c>
      <c r="L287" s="634" t="s">
        <v>603</v>
      </c>
      <c r="M287" s="625" t="s">
        <v>1105</v>
      </c>
      <c r="N287" s="642" t="str">
        <f t="shared" si="4"/>
        <v>茨城県ひたちなか市</v>
      </c>
      <c r="O287" s="622">
        <v>10.210000000000001</v>
      </c>
      <c r="P287" s="625">
        <v>10.17</v>
      </c>
      <c r="Q287" s="658">
        <v>10.14</v>
      </c>
      <c r="T287" s="1"/>
      <c r="U287" s="1"/>
      <c r="V287" s="1"/>
      <c r="W287" s="1"/>
      <c r="X287" s="1"/>
    </row>
    <row r="288" spans="5:24">
      <c r="E288" s="2"/>
      <c r="G288" s="7" t="s">
        <v>587</v>
      </c>
      <c r="H288" s="7" t="s">
        <v>964</v>
      </c>
      <c r="J288" s="11" t="s">
        <v>951</v>
      </c>
      <c r="K288" s="16">
        <v>0.03</v>
      </c>
      <c r="L288" s="634" t="s">
        <v>603</v>
      </c>
      <c r="M288" s="625" t="s">
        <v>1110</v>
      </c>
      <c r="N288" s="642" t="str">
        <f t="shared" si="4"/>
        <v>茨城県那珂市</v>
      </c>
      <c r="O288" s="622">
        <v>10.210000000000001</v>
      </c>
      <c r="P288" s="625">
        <v>10.17</v>
      </c>
      <c r="Q288" s="658">
        <v>10.14</v>
      </c>
      <c r="T288" s="1"/>
      <c r="U288" s="1"/>
      <c r="V288" s="1"/>
      <c r="W288" s="1"/>
      <c r="X288" s="1"/>
    </row>
    <row r="289" spans="5:24">
      <c r="E289" s="2"/>
      <c r="G289" s="7" t="s">
        <v>587</v>
      </c>
      <c r="H289" s="7" t="s">
        <v>965</v>
      </c>
      <c r="J289" s="11" t="s">
        <v>951</v>
      </c>
      <c r="K289" s="16">
        <v>0.03</v>
      </c>
      <c r="L289" s="634" t="s">
        <v>603</v>
      </c>
      <c r="M289" s="625" t="s">
        <v>1111</v>
      </c>
      <c r="N289" s="642" t="str">
        <f t="shared" si="4"/>
        <v>茨城県筑西市</v>
      </c>
      <c r="O289" s="622">
        <v>10.210000000000001</v>
      </c>
      <c r="P289" s="625">
        <v>10.17</v>
      </c>
      <c r="Q289" s="658">
        <v>10.14</v>
      </c>
      <c r="T289" s="1"/>
      <c r="U289" s="1"/>
      <c r="V289" s="1"/>
      <c r="W289" s="1"/>
      <c r="X289" s="1"/>
    </row>
    <row r="290" spans="5:24">
      <c r="E290" s="2"/>
      <c r="G290" s="7" t="s">
        <v>587</v>
      </c>
      <c r="H290" s="7" t="s">
        <v>966</v>
      </c>
      <c r="J290" s="11" t="s">
        <v>951</v>
      </c>
      <c r="K290" s="16">
        <v>0.03</v>
      </c>
      <c r="L290" s="634" t="s">
        <v>603</v>
      </c>
      <c r="M290" s="625" t="s">
        <v>1112</v>
      </c>
      <c r="N290" s="642" t="str">
        <f t="shared" si="4"/>
        <v>茨城県坂東市</v>
      </c>
      <c r="O290" s="622">
        <v>10.210000000000001</v>
      </c>
      <c r="P290" s="625">
        <v>10.17</v>
      </c>
      <c r="Q290" s="658">
        <v>10.14</v>
      </c>
      <c r="T290" s="1"/>
      <c r="U290" s="1"/>
      <c r="V290" s="1"/>
      <c r="W290" s="1"/>
      <c r="X290" s="1"/>
    </row>
    <row r="291" spans="5:24">
      <c r="E291" s="2"/>
      <c r="G291" s="7" t="s">
        <v>587</v>
      </c>
      <c r="H291" s="7" t="s">
        <v>967</v>
      </c>
      <c r="J291" s="11" t="s">
        <v>951</v>
      </c>
      <c r="K291" s="16">
        <v>0.03</v>
      </c>
      <c r="L291" s="634" t="s">
        <v>603</v>
      </c>
      <c r="M291" s="625" t="s">
        <v>1113</v>
      </c>
      <c r="N291" s="642" t="str">
        <f t="shared" si="4"/>
        <v>茨城県稲敷市</v>
      </c>
      <c r="O291" s="622">
        <v>10.210000000000001</v>
      </c>
      <c r="P291" s="625">
        <v>10.17</v>
      </c>
      <c r="Q291" s="658">
        <v>10.14</v>
      </c>
      <c r="T291" s="1"/>
      <c r="U291" s="1"/>
      <c r="V291" s="1"/>
      <c r="W291" s="1"/>
      <c r="X291" s="1"/>
    </row>
    <row r="292" spans="5:24">
      <c r="E292" s="2"/>
      <c r="G292" s="7" t="s">
        <v>587</v>
      </c>
      <c r="H292" s="7" t="s">
        <v>968</v>
      </c>
      <c r="J292" s="11" t="s">
        <v>951</v>
      </c>
      <c r="K292" s="16">
        <v>0.03</v>
      </c>
      <c r="L292" s="634" t="s">
        <v>603</v>
      </c>
      <c r="M292" s="625" t="s">
        <v>1120</v>
      </c>
      <c r="N292" s="642" t="str">
        <f t="shared" si="4"/>
        <v>茨城県つくばみらい市</v>
      </c>
      <c r="O292" s="622">
        <v>10.210000000000001</v>
      </c>
      <c r="P292" s="625">
        <v>10.17</v>
      </c>
      <c r="Q292" s="658">
        <v>10.14</v>
      </c>
      <c r="T292" s="1"/>
      <c r="U292" s="1"/>
      <c r="V292" s="1"/>
      <c r="W292" s="1"/>
      <c r="X292" s="1"/>
    </row>
    <row r="293" spans="5:24">
      <c r="E293" s="2"/>
      <c r="G293" s="7" t="s">
        <v>587</v>
      </c>
      <c r="H293" s="7" t="s">
        <v>969</v>
      </c>
      <c r="J293" s="11" t="s">
        <v>951</v>
      </c>
      <c r="K293" s="16">
        <v>0.03</v>
      </c>
      <c r="L293" s="634" t="s">
        <v>603</v>
      </c>
      <c r="M293" s="625" t="s">
        <v>1123</v>
      </c>
      <c r="N293" s="642" t="str">
        <f t="shared" si="4"/>
        <v>茨城県大洗町</v>
      </c>
      <c r="O293" s="622">
        <v>10.210000000000001</v>
      </c>
      <c r="P293" s="625">
        <v>10.17</v>
      </c>
      <c r="Q293" s="658">
        <v>10.14</v>
      </c>
      <c r="T293" s="1"/>
      <c r="U293" s="1"/>
      <c r="V293" s="1"/>
      <c r="W293" s="1"/>
      <c r="X293" s="1"/>
    </row>
    <row r="294" spans="5:24">
      <c r="E294" s="2"/>
      <c r="G294" s="7" t="s">
        <v>587</v>
      </c>
      <c r="H294" s="7" t="s">
        <v>970</v>
      </c>
      <c r="J294" s="11" t="s">
        <v>951</v>
      </c>
      <c r="K294" s="16">
        <v>0.03</v>
      </c>
      <c r="L294" s="634" t="s">
        <v>603</v>
      </c>
      <c r="M294" s="625" t="s">
        <v>1128</v>
      </c>
      <c r="N294" s="642" t="str">
        <f t="shared" si="4"/>
        <v>茨城県阿見町</v>
      </c>
      <c r="O294" s="622">
        <v>10.210000000000001</v>
      </c>
      <c r="P294" s="625">
        <v>10.17</v>
      </c>
      <c r="Q294" s="658">
        <v>10.14</v>
      </c>
      <c r="T294" s="1"/>
      <c r="U294" s="1"/>
      <c r="V294" s="1"/>
      <c r="W294" s="1"/>
      <c r="X294" s="1"/>
    </row>
    <row r="295" spans="5:24">
      <c r="E295" s="2"/>
      <c r="G295" s="7" t="s">
        <v>587</v>
      </c>
      <c r="H295" s="7" t="s">
        <v>971</v>
      </c>
      <c r="J295" s="11" t="s">
        <v>951</v>
      </c>
      <c r="K295" s="16">
        <v>0.03</v>
      </c>
      <c r="L295" s="634" t="s">
        <v>603</v>
      </c>
      <c r="M295" s="625" t="s">
        <v>1129</v>
      </c>
      <c r="N295" s="642" t="str">
        <f t="shared" si="4"/>
        <v>茨城県河内町</v>
      </c>
      <c r="O295" s="622">
        <v>10.210000000000001</v>
      </c>
      <c r="P295" s="625">
        <v>10.17</v>
      </c>
      <c r="Q295" s="658">
        <v>10.14</v>
      </c>
      <c r="T295" s="1"/>
      <c r="U295" s="1"/>
      <c r="V295" s="1"/>
      <c r="W295" s="1"/>
      <c r="X295" s="1"/>
    </row>
    <row r="296" spans="5:24">
      <c r="E296" s="2"/>
      <c r="G296" s="7" t="s">
        <v>591</v>
      </c>
      <c r="H296" s="7" t="s">
        <v>972</v>
      </c>
      <c r="J296" s="11" t="s">
        <v>951</v>
      </c>
      <c r="K296" s="16">
        <v>0.03</v>
      </c>
      <c r="L296" s="634" t="s">
        <v>603</v>
      </c>
      <c r="M296" s="625" t="s">
        <v>1130</v>
      </c>
      <c r="N296" s="642" t="str">
        <f t="shared" si="4"/>
        <v>茨城県八千代町</v>
      </c>
      <c r="O296" s="622">
        <v>10.210000000000001</v>
      </c>
      <c r="P296" s="625">
        <v>10.17</v>
      </c>
      <c r="Q296" s="658">
        <v>10.14</v>
      </c>
      <c r="T296" s="1"/>
      <c r="U296" s="1"/>
      <c r="V296" s="1"/>
      <c r="W296" s="1"/>
      <c r="X296" s="1"/>
    </row>
    <row r="297" spans="5:24">
      <c r="E297" s="2"/>
      <c r="G297" s="7" t="s">
        <v>591</v>
      </c>
      <c r="H297" s="7" t="s">
        <v>973</v>
      </c>
      <c r="J297" s="11" t="s">
        <v>951</v>
      </c>
      <c r="K297" s="16">
        <v>0.03</v>
      </c>
      <c r="L297" s="634" t="s">
        <v>603</v>
      </c>
      <c r="M297" s="625" t="s">
        <v>1131</v>
      </c>
      <c r="N297" s="642" t="str">
        <f t="shared" si="4"/>
        <v>茨城県五霞町</v>
      </c>
      <c r="O297" s="622">
        <v>10.210000000000001</v>
      </c>
      <c r="P297" s="625">
        <v>10.17</v>
      </c>
      <c r="Q297" s="658">
        <v>10.14</v>
      </c>
      <c r="T297" s="1"/>
      <c r="U297" s="1"/>
      <c r="V297" s="1"/>
      <c r="W297" s="1"/>
      <c r="X297" s="1"/>
    </row>
    <row r="298" spans="5:24">
      <c r="E298" s="2"/>
      <c r="G298" s="7" t="s">
        <v>591</v>
      </c>
      <c r="H298" s="7" t="s">
        <v>974</v>
      </c>
      <c r="J298" s="11" t="s">
        <v>951</v>
      </c>
      <c r="K298" s="16">
        <v>0.03</v>
      </c>
      <c r="L298" s="634" t="s">
        <v>603</v>
      </c>
      <c r="M298" s="625" t="s">
        <v>1132</v>
      </c>
      <c r="N298" s="642" t="str">
        <f t="shared" si="4"/>
        <v>茨城県境町</v>
      </c>
      <c r="O298" s="622">
        <v>10.210000000000001</v>
      </c>
      <c r="P298" s="625">
        <v>10.17</v>
      </c>
      <c r="Q298" s="658">
        <v>10.14</v>
      </c>
      <c r="T298" s="1"/>
      <c r="U298" s="1"/>
      <c r="V298" s="1"/>
      <c r="W298" s="1"/>
      <c r="X298" s="1"/>
    </row>
    <row r="299" spans="5:24">
      <c r="E299" s="2"/>
      <c r="G299" s="7" t="s">
        <v>591</v>
      </c>
      <c r="H299" s="7" t="s">
        <v>975</v>
      </c>
      <c r="J299" s="11" t="s">
        <v>951</v>
      </c>
      <c r="K299" s="16">
        <v>0.03</v>
      </c>
      <c r="L299" s="634" t="s">
        <v>606</v>
      </c>
      <c r="M299" s="625" t="s">
        <v>1136</v>
      </c>
      <c r="N299" s="642" t="str">
        <f t="shared" si="4"/>
        <v>栃木県栃木市</v>
      </c>
      <c r="O299" s="622">
        <v>10.210000000000001</v>
      </c>
      <c r="P299" s="625">
        <v>10.17</v>
      </c>
      <c r="Q299" s="658">
        <v>10.14</v>
      </c>
      <c r="T299" s="1"/>
      <c r="U299" s="1"/>
      <c r="V299" s="1"/>
      <c r="W299" s="1"/>
      <c r="X299" s="1"/>
    </row>
    <row r="300" spans="5:24">
      <c r="E300" s="2"/>
      <c r="G300" s="7" t="s">
        <v>591</v>
      </c>
      <c r="H300" s="7" t="s">
        <v>976</v>
      </c>
      <c r="J300" s="11" t="s">
        <v>951</v>
      </c>
      <c r="K300" s="16">
        <v>0.03</v>
      </c>
      <c r="L300" s="634" t="s">
        <v>606</v>
      </c>
      <c r="M300" s="625" t="s">
        <v>1138</v>
      </c>
      <c r="N300" s="642" t="str">
        <f t="shared" si="4"/>
        <v>栃木県鹿沼市</v>
      </c>
      <c r="O300" s="622">
        <v>10.210000000000001</v>
      </c>
      <c r="P300" s="625">
        <v>10.17</v>
      </c>
      <c r="Q300" s="658">
        <v>10.14</v>
      </c>
      <c r="T300" s="1"/>
      <c r="U300" s="1"/>
      <c r="V300" s="1"/>
      <c r="W300" s="1"/>
      <c r="X300" s="1"/>
    </row>
    <row r="301" spans="5:24">
      <c r="E301" s="2"/>
      <c r="G301" s="7" t="s">
        <v>591</v>
      </c>
      <c r="H301" s="7" t="s">
        <v>977</v>
      </c>
      <c r="J301" s="11" t="s">
        <v>951</v>
      </c>
      <c r="K301" s="16">
        <v>0.03</v>
      </c>
      <c r="L301" s="634" t="s">
        <v>606</v>
      </c>
      <c r="M301" s="625" t="s">
        <v>1139</v>
      </c>
      <c r="N301" s="642" t="str">
        <f t="shared" si="4"/>
        <v>栃木県日光市</v>
      </c>
      <c r="O301" s="622">
        <v>10.210000000000001</v>
      </c>
      <c r="P301" s="625">
        <v>10.17</v>
      </c>
      <c r="Q301" s="658">
        <v>10.14</v>
      </c>
      <c r="T301" s="1"/>
      <c r="U301" s="1"/>
      <c r="V301" s="1"/>
      <c r="W301" s="1"/>
      <c r="X301" s="1"/>
    </row>
    <row r="302" spans="5:24">
      <c r="E302" s="2"/>
      <c r="G302" s="7" t="s">
        <v>591</v>
      </c>
      <c r="H302" s="7" t="s">
        <v>978</v>
      </c>
      <c r="J302" s="11" t="s">
        <v>951</v>
      </c>
      <c r="K302" s="16">
        <v>0.03</v>
      </c>
      <c r="L302" s="634" t="s">
        <v>606</v>
      </c>
      <c r="M302" s="625" t="s">
        <v>1140</v>
      </c>
      <c r="N302" s="642" t="str">
        <f t="shared" si="4"/>
        <v>栃木県小山市</v>
      </c>
      <c r="O302" s="622">
        <v>10.210000000000001</v>
      </c>
      <c r="P302" s="625">
        <v>10.17</v>
      </c>
      <c r="Q302" s="658">
        <v>10.14</v>
      </c>
      <c r="T302" s="1"/>
      <c r="U302" s="1"/>
      <c r="V302" s="1"/>
      <c r="W302" s="1"/>
      <c r="X302" s="1"/>
    </row>
    <row r="303" spans="5:24">
      <c r="E303" s="2"/>
      <c r="G303" s="7" t="s">
        <v>591</v>
      </c>
      <c r="H303" s="7" t="s">
        <v>979</v>
      </c>
      <c r="J303" s="11" t="s">
        <v>951</v>
      </c>
      <c r="K303" s="16">
        <v>0.03</v>
      </c>
      <c r="L303" s="634" t="s">
        <v>606</v>
      </c>
      <c r="M303" s="625" t="s">
        <v>1141</v>
      </c>
      <c r="N303" s="642" t="str">
        <f t="shared" si="4"/>
        <v>栃木県真岡市</v>
      </c>
      <c r="O303" s="622">
        <v>10.210000000000001</v>
      </c>
      <c r="P303" s="625">
        <v>10.17</v>
      </c>
      <c r="Q303" s="658">
        <v>10.14</v>
      </c>
      <c r="T303" s="1"/>
      <c r="U303" s="1"/>
      <c r="V303" s="1"/>
      <c r="W303" s="1"/>
      <c r="X303" s="1"/>
    </row>
    <row r="304" spans="5:24">
      <c r="E304" s="2"/>
      <c r="G304" s="7" t="s">
        <v>591</v>
      </c>
      <c r="H304" s="7" t="s">
        <v>980</v>
      </c>
      <c r="J304" s="11" t="s">
        <v>951</v>
      </c>
      <c r="K304" s="16">
        <v>0.03</v>
      </c>
      <c r="L304" s="634" t="s">
        <v>606</v>
      </c>
      <c r="M304" s="625" t="s">
        <v>1142</v>
      </c>
      <c r="N304" s="642" t="str">
        <f t="shared" si="4"/>
        <v>栃木県大田原市</v>
      </c>
      <c r="O304" s="622">
        <v>10.210000000000001</v>
      </c>
      <c r="P304" s="625">
        <v>10.17</v>
      </c>
      <c r="Q304" s="658">
        <v>10.14</v>
      </c>
      <c r="T304" s="1"/>
      <c r="U304" s="1"/>
      <c r="V304" s="1"/>
      <c r="W304" s="1"/>
      <c r="X304" s="1"/>
    </row>
    <row r="305" spans="5:24">
      <c r="E305" s="2"/>
      <c r="G305" s="7" t="s">
        <v>591</v>
      </c>
      <c r="H305" s="7" t="s">
        <v>981</v>
      </c>
      <c r="J305" s="11" t="s">
        <v>951</v>
      </c>
      <c r="K305" s="16">
        <v>0.03</v>
      </c>
      <c r="L305" s="634" t="s">
        <v>606</v>
      </c>
      <c r="M305" s="625" t="s">
        <v>1145</v>
      </c>
      <c r="N305" s="642" t="str">
        <f t="shared" si="4"/>
        <v>栃木県さくら市</v>
      </c>
      <c r="O305" s="622">
        <v>10.210000000000001</v>
      </c>
      <c r="P305" s="625">
        <v>10.17</v>
      </c>
      <c r="Q305" s="658">
        <v>10.14</v>
      </c>
      <c r="T305" s="1"/>
      <c r="U305" s="1"/>
      <c r="V305" s="1"/>
      <c r="W305" s="1"/>
      <c r="X305" s="1"/>
    </row>
    <row r="306" spans="5:24">
      <c r="E306" s="2"/>
      <c r="G306" s="7" t="s">
        <v>591</v>
      </c>
      <c r="H306" s="7" t="s">
        <v>982</v>
      </c>
      <c r="J306" s="11" t="s">
        <v>951</v>
      </c>
      <c r="K306" s="16">
        <v>0.03</v>
      </c>
      <c r="L306" s="634" t="s">
        <v>606</v>
      </c>
      <c r="M306" s="625" t="s">
        <v>1147</v>
      </c>
      <c r="N306" s="642" t="str">
        <f t="shared" si="4"/>
        <v>栃木県下野市</v>
      </c>
      <c r="O306" s="622">
        <v>10.210000000000001</v>
      </c>
      <c r="P306" s="625">
        <v>10.17</v>
      </c>
      <c r="Q306" s="658">
        <v>10.14</v>
      </c>
      <c r="T306" s="1"/>
      <c r="U306" s="1"/>
      <c r="V306" s="1"/>
      <c r="W306" s="1"/>
      <c r="X306" s="1"/>
    </row>
    <row r="307" spans="5:24">
      <c r="E307" s="2"/>
      <c r="G307" s="7" t="s">
        <v>591</v>
      </c>
      <c r="H307" s="7" t="s">
        <v>983</v>
      </c>
      <c r="J307" s="11" t="s">
        <v>951</v>
      </c>
      <c r="K307" s="16">
        <v>0.03</v>
      </c>
      <c r="L307" s="634" t="s">
        <v>606</v>
      </c>
      <c r="M307" s="625" t="s">
        <v>1153</v>
      </c>
      <c r="N307" s="642" t="str">
        <f t="shared" si="4"/>
        <v>栃木県壬生町</v>
      </c>
      <c r="O307" s="622">
        <v>10.210000000000001</v>
      </c>
      <c r="P307" s="625">
        <v>10.17</v>
      </c>
      <c r="Q307" s="658">
        <v>10.14</v>
      </c>
      <c r="T307" s="1"/>
      <c r="U307" s="1"/>
      <c r="V307" s="1"/>
      <c r="W307" s="1"/>
      <c r="X307" s="1"/>
    </row>
    <row r="308" spans="5:24">
      <c r="E308" s="2"/>
      <c r="G308" s="7" t="s">
        <v>591</v>
      </c>
      <c r="H308" s="7" t="s">
        <v>984</v>
      </c>
      <c r="J308" s="11" t="s">
        <v>951</v>
      </c>
      <c r="K308" s="16">
        <v>0.03</v>
      </c>
      <c r="L308" s="634" t="s">
        <v>609</v>
      </c>
      <c r="M308" s="625" t="s">
        <v>1159</v>
      </c>
      <c r="N308" s="642" t="str">
        <f t="shared" si="4"/>
        <v>群馬県前橋市</v>
      </c>
      <c r="O308" s="622">
        <v>10.210000000000001</v>
      </c>
      <c r="P308" s="625">
        <v>10.17</v>
      </c>
      <c r="Q308" s="658">
        <v>10.14</v>
      </c>
      <c r="T308" s="1"/>
      <c r="U308" s="1"/>
      <c r="V308" s="1"/>
      <c r="W308" s="1"/>
      <c r="X308" s="1"/>
    </row>
    <row r="309" spans="5:24">
      <c r="E309" s="2"/>
      <c r="G309" s="7" t="s">
        <v>591</v>
      </c>
      <c r="H309" s="7" t="s">
        <v>985</v>
      </c>
      <c r="J309" s="11" t="s">
        <v>951</v>
      </c>
      <c r="K309" s="16">
        <v>0.03</v>
      </c>
      <c r="L309" s="634" t="s">
        <v>609</v>
      </c>
      <c r="M309" s="625" t="s">
        <v>1162</v>
      </c>
      <c r="N309" s="642" t="str">
        <f t="shared" si="4"/>
        <v>群馬県伊勢崎市</v>
      </c>
      <c r="O309" s="622">
        <v>10.210000000000001</v>
      </c>
      <c r="P309" s="625">
        <v>10.17</v>
      </c>
      <c r="Q309" s="658">
        <v>10.14</v>
      </c>
      <c r="T309" s="1"/>
      <c r="U309" s="1"/>
      <c r="V309" s="1"/>
      <c r="W309" s="1"/>
      <c r="X309" s="1"/>
    </row>
    <row r="310" spans="5:24">
      <c r="E310" s="2"/>
      <c r="G310" s="7" t="s">
        <v>591</v>
      </c>
      <c r="H310" s="7" t="s">
        <v>986</v>
      </c>
      <c r="J310" s="11" t="s">
        <v>951</v>
      </c>
      <c r="K310" s="16">
        <v>0.03</v>
      </c>
      <c r="L310" s="634" t="s">
        <v>609</v>
      </c>
      <c r="M310" s="625" t="s">
        <v>1163</v>
      </c>
      <c r="N310" s="642" t="str">
        <f t="shared" si="4"/>
        <v>群馬県太田市</v>
      </c>
      <c r="O310" s="622">
        <v>10.210000000000001</v>
      </c>
      <c r="P310" s="625">
        <v>10.17</v>
      </c>
      <c r="Q310" s="658">
        <v>10.14</v>
      </c>
      <c r="T310" s="1"/>
      <c r="U310" s="1"/>
      <c r="V310" s="1"/>
      <c r="W310" s="1"/>
      <c r="X310" s="1"/>
    </row>
    <row r="311" spans="5:24">
      <c r="E311" s="2"/>
      <c r="G311" s="7" t="s">
        <v>591</v>
      </c>
      <c r="H311" s="7" t="s">
        <v>987</v>
      </c>
      <c r="J311" s="11" t="s">
        <v>951</v>
      </c>
      <c r="K311" s="16">
        <v>0.03</v>
      </c>
      <c r="L311" s="634" t="s">
        <v>609</v>
      </c>
      <c r="M311" s="625" t="s">
        <v>1166</v>
      </c>
      <c r="N311" s="642" t="str">
        <f t="shared" si="4"/>
        <v>群馬県渋川市</v>
      </c>
      <c r="O311" s="622">
        <v>10.210000000000001</v>
      </c>
      <c r="P311" s="625">
        <v>10.17</v>
      </c>
      <c r="Q311" s="658">
        <v>10.14</v>
      </c>
      <c r="T311" s="1"/>
      <c r="U311" s="1"/>
      <c r="V311" s="1"/>
      <c r="W311" s="1"/>
      <c r="X311" s="1"/>
    </row>
    <row r="312" spans="5:24">
      <c r="E312" s="2"/>
      <c r="G312" s="7" t="s">
        <v>591</v>
      </c>
      <c r="H312" s="7" t="s">
        <v>988</v>
      </c>
      <c r="J312" s="11" t="s">
        <v>951</v>
      </c>
      <c r="K312" s="16">
        <v>0.03</v>
      </c>
      <c r="L312" s="634" t="s">
        <v>609</v>
      </c>
      <c r="M312" s="625" t="s">
        <v>2447</v>
      </c>
      <c r="N312" s="642" t="str">
        <f t="shared" si="4"/>
        <v>群馬県榛東村</v>
      </c>
      <c r="O312" s="622">
        <v>10.210000000000001</v>
      </c>
      <c r="P312" s="625">
        <v>10.17</v>
      </c>
      <c r="Q312" s="658">
        <v>10.14</v>
      </c>
      <c r="T312" s="1"/>
      <c r="U312" s="1"/>
      <c r="V312" s="1"/>
      <c r="W312" s="1"/>
      <c r="X312" s="1"/>
    </row>
    <row r="313" spans="5:24">
      <c r="E313" s="2"/>
      <c r="G313" s="7" t="s">
        <v>591</v>
      </c>
      <c r="H313" s="7" t="s">
        <v>989</v>
      </c>
      <c r="J313" s="11" t="s">
        <v>951</v>
      </c>
      <c r="K313" s="16">
        <v>0.03</v>
      </c>
      <c r="L313" s="634" t="s">
        <v>609</v>
      </c>
      <c r="M313" s="625" t="s">
        <v>2448</v>
      </c>
      <c r="N313" s="642" t="str">
        <f t="shared" si="4"/>
        <v>群馬県吉岡町</v>
      </c>
      <c r="O313" s="622">
        <v>10.210000000000001</v>
      </c>
      <c r="P313" s="625">
        <v>10.17</v>
      </c>
      <c r="Q313" s="658">
        <v>10.14</v>
      </c>
      <c r="T313" s="1"/>
      <c r="U313" s="1"/>
      <c r="V313" s="1"/>
      <c r="W313" s="1"/>
      <c r="X313" s="1"/>
    </row>
    <row r="314" spans="5:24">
      <c r="E314" s="2"/>
      <c r="G314" s="7" t="s">
        <v>591</v>
      </c>
      <c r="H314" s="7" t="s">
        <v>990</v>
      </c>
      <c r="J314" s="11" t="s">
        <v>951</v>
      </c>
      <c r="K314" s="16">
        <v>0.03</v>
      </c>
      <c r="L314" s="634" t="s">
        <v>609</v>
      </c>
      <c r="M314" s="625" t="s">
        <v>1187</v>
      </c>
      <c r="N314" s="642" t="str">
        <f t="shared" si="4"/>
        <v>群馬県玉村町</v>
      </c>
      <c r="O314" s="622">
        <v>10.210000000000001</v>
      </c>
      <c r="P314" s="625">
        <v>10.17</v>
      </c>
      <c r="Q314" s="658">
        <v>10.14</v>
      </c>
      <c r="T314" s="1"/>
      <c r="U314" s="1"/>
      <c r="V314" s="1"/>
      <c r="W314" s="1"/>
      <c r="X314" s="1"/>
    </row>
    <row r="315" spans="5:24">
      <c r="E315" s="2"/>
      <c r="G315" s="7" t="s">
        <v>591</v>
      </c>
      <c r="H315" s="7" t="s">
        <v>991</v>
      </c>
      <c r="J315" s="11" t="s">
        <v>951</v>
      </c>
      <c r="K315" s="16">
        <v>0.03</v>
      </c>
      <c r="L315" s="634" t="s">
        <v>611</v>
      </c>
      <c r="M315" s="625" t="s">
        <v>1195</v>
      </c>
      <c r="N315" s="642" t="str">
        <f t="shared" si="4"/>
        <v>埼玉県熊谷市</v>
      </c>
      <c r="O315" s="622">
        <v>10.210000000000001</v>
      </c>
      <c r="P315" s="625">
        <v>10.17</v>
      </c>
      <c r="Q315" s="658">
        <v>10.14</v>
      </c>
      <c r="T315" s="1"/>
      <c r="U315" s="1"/>
      <c r="V315" s="1"/>
      <c r="W315" s="1"/>
      <c r="X315" s="1"/>
    </row>
    <row r="316" spans="5:24">
      <c r="E316" s="2"/>
      <c r="G316" s="7" t="s">
        <v>591</v>
      </c>
      <c r="H316" s="7" t="s">
        <v>992</v>
      </c>
      <c r="J316" s="11" t="s">
        <v>951</v>
      </c>
      <c r="K316" s="16">
        <v>0.03</v>
      </c>
      <c r="L316" s="634" t="s">
        <v>611</v>
      </c>
      <c r="M316" s="625" t="s">
        <v>1208</v>
      </c>
      <c r="N316" s="642" t="str">
        <f t="shared" si="4"/>
        <v>埼玉県深谷市</v>
      </c>
      <c r="O316" s="622">
        <v>10.210000000000001</v>
      </c>
      <c r="P316" s="625">
        <v>10.17</v>
      </c>
      <c r="Q316" s="658">
        <v>10.14</v>
      </c>
      <c r="T316" s="1"/>
      <c r="U316" s="1"/>
      <c r="V316" s="1"/>
      <c r="W316" s="1"/>
      <c r="X316" s="1"/>
    </row>
    <row r="317" spans="5:24">
      <c r="E317" s="2"/>
      <c r="G317" s="7" t="s">
        <v>591</v>
      </c>
      <c r="H317" s="7" t="s">
        <v>993</v>
      </c>
      <c r="J317" s="11" t="s">
        <v>951</v>
      </c>
      <c r="K317" s="16">
        <v>0.03</v>
      </c>
      <c r="L317" s="634" t="s">
        <v>611</v>
      </c>
      <c r="M317" s="625" t="s">
        <v>1229</v>
      </c>
      <c r="N317" s="642" t="str">
        <f t="shared" si="4"/>
        <v>埼玉県日高市</v>
      </c>
      <c r="O317" s="622">
        <v>10.210000000000001</v>
      </c>
      <c r="P317" s="625">
        <v>10.17</v>
      </c>
      <c r="Q317" s="658">
        <v>10.14</v>
      </c>
      <c r="T317" s="1"/>
      <c r="U317" s="1"/>
      <c r="V317" s="1"/>
      <c r="W317" s="1"/>
      <c r="X317" s="1"/>
    </row>
    <row r="318" spans="5:24">
      <c r="E318" s="2"/>
      <c r="G318" s="7" t="s">
        <v>591</v>
      </c>
      <c r="H318" s="7" t="s">
        <v>994</v>
      </c>
      <c r="J318" s="11" t="s">
        <v>951</v>
      </c>
      <c r="K318" s="16">
        <v>0.03</v>
      </c>
      <c r="L318" s="634" t="s">
        <v>611</v>
      </c>
      <c r="M318" s="625" t="s">
        <v>1235</v>
      </c>
      <c r="N318" s="642" t="str">
        <f t="shared" si="4"/>
        <v>埼玉県毛呂山町</v>
      </c>
      <c r="O318" s="622">
        <v>10.210000000000001</v>
      </c>
      <c r="P318" s="625">
        <v>10.17</v>
      </c>
      <c r="Q318" s="658">
        <v>10.14</v>
      </c>
      <c r="T318" s="1"/>
      <c r="U318" s="1"/>
      <c r="V318" s="1"/>
      <c r="W318" s="1"/>
      <c r="X318" s="1"/>
    </row>
    <row r="319" spans="5:24">
      <c r="E319" s="2"/>
      <c r="G319" s="7" t="s">
        <v>591</v>
      </c>
      <c r="H319" s="7" t="s">
        <v>995</v>
      </c>
      <c r="J319" s="11" t="s">
        <v>951</v>
      </c>
      <c r="K319" s="16">
        <v>0.03</v>
      </c>
      <c r="L319" s="634" t="s">
        <v>611</v>
      </c>
      <c r="M319" s="625" t="s">
        <v>1236</v>
      </c>
      <c r="N319" s="642" t="str">
        <f t="shared" si="4"/>
        <v>埼玉県越生町</v>
      </c>
      <c r="O319" s="622">
        <v>10.210000000000001</v>
      </c>
      <c r="P319" s="625">
        <v>10.17</v>
      </c>
      <c r="Q319" s="658">
        <v>10.14</v>
      </c>
      <c r="T319" s="1"/>
      <c r="U319" s="1"/>
      <c r="V319" s="1"/>
      <c r="W319" s="1"/>
      <c r="X319" s="1"/>
    </row>
    <row r="320" spans="5:24">
      <c r="E320" s="2"/>
      <c r="G320" s="7" t="s">
        <v>591</v>
      </c>
      <c r="H320" s="7" t="s">
        <v>996</v>
      </c>
      <c r="J320" s="11" t="s">
        <v>951</v>
      </c>
      <c r="K320" s="16">
        <v>0.03</v>
      </c>
      <c r="L320" s="634" t="s">
        <v>611</v>
      </c>
      <c r="M320" s="625" t="s">
        <v>1237</v>
      </c>
      <c r="N320" s="642" t="str">
        <f t="shared" si="4"/>
        <v>埼玉県滑川町</v>
      </c>
      <c r="O320" s="622">
        <v>10.210000000000001</v>
      </c>
      <c r="P320" s="625">
        <v>10.17</v>
      </c>
      <c r="Q320" s="658">
        <v>10.14</v>
      </c>
      <c r="T320" s="1"/>
      <c r="U320" s="1"/>
      <c r="V320" s="1"/>
      <c r="W320" s="1"/>
      <c r="X320" s="1"/>
    </row>
    <row r="321" spans="5:24">
      <c r="E321" s="2"/>
      <c r="G321" s="7" t="s">
        <v>596</v>
      </c>
      <c r="H321" s="7" t="s">
        <v>997</v>
      </c>
      <c r="J321" s="11" t="s">
        <v>951</v>
      </c>
      <c r="K321" s="16">
        <v>0.03</v>
      </c>
      <c r="L321" s="634" t="s">
        <v>611</v>
      </c>
      <c r="M321" s="625" t="s">
        <v>1240</v>
      </c>
      <c r="N321" s="642" t="str">
        <f t="shared" si="4"/>
        <v>埼玉県川島町</v>
      </c>
      <c r="O321" s="622">
        <v>10.210000000000001</v>
      </c>
      <c r="P321" s="625">
        <v>10.17</v>
      </c>
      <c r="Q321" s="658">
        <v>10.14</v>
      </c>
      <c r="T321" s="1"/>
      <c r="U321" s="1"/>
      <c r="V321" s="1"/>
      <c r="W321" s="1"/>
      <c r="X321" s="1"/>
    </row>
    <row r="322" spans="5:24">
      <c r="E322" s="2"/>
      <c r="G322" s="7" t="s">
        <v>596</v>
      </c>
      <c r="H322" s="7" t="s">
        <v>998</v>
      </c>
      <c r="J322" s="11" t="s">
        <v>951</v>
      </c>
      <c r="K322" s="16">
        <v>0.03</v>
      </c>
      <c r="L322" s="634" t="s">
        <v>611</v>
      </c>
      <c r="M322" s="625" t="s">
        <v>1241</v>
      </c>
      <c r="N322" s="642" t="str">
        <f t="shared" si="4"/>
        <v>埼玉県吉見町</v>
      </c>
      <c r="O322" s="622">
        <v>10.210000000000001</v>
      </c>
      <c r="P322" s="625">
        <v>10.17</v>
      </c>
      <c r="Q322" s="658">
        <v>10.14</v>
      </c>
      <c r="T322" s="1"/>
      <c r="U322" s="1"/>
      <c r="V322" s="1"/>
      <c r="W322" s="1"/>
      <c r="X322" s="1"/>
    </row>
    <row r="323" spans="5:24">
      <c r="E323" s="2"/>
      <c r="G323" s="7" t="s">
        <v>596</v>
      </c>
      <c r="H323" s="7" t="s">
        <v>999</v>
      </c>
      <c r="J323" s="11" t="s">
        <v>951</v>
      </c>
      <c r="K323" s="16">
        <v>0.03</v>
      </c>
      <c r="L323" s="634" t="s">
        <v>611</v>
      </c>
      <c r="M323" s="625" t="s">
        <v>1242</v>
      </c>
      <c r="N323" s="642" t="str">
        <f t="shared" si="4"/>
        <v>埼玉県鳩山町</v>
      </c>
      <c r="O323" s="622">
        <v>10.210000000000001</v>
      </c>
      <c r="P323" s="625">
        <v>10.17</v>
      </c>
      <c r="Q323" s="658">
        <v>10.14</v>
      </c>
      <c r="T323" s="1"/>
      <c r="U323" s="1"/>
      <c r="V323" s="1"/>
      <c r="W323" s="1"/>
      <c r="X323" s="1"/>
    </row>
    <row r="324" spans="5:24">
      <c r="E324" s="2"/>
      <c r="G324" s="7" t="s">
        <v>596</v>
      </c>
      <c r="H324" s="7" t="s">
        <v>1000</v>
      </c>
      <c r="J324" s="11" t="s">
        <v>951</v>
      </c>
      <c r="K324" s="16">
        <v>0.03</v>
      </c>
      <c r="L324" s="634" t="s">
        <v>611</v>
      </c>
      <c r="M324" s="625" t="s">
        <v>1251</v>
      </c>
      <c r="N324" s="642" t="str">
        <f t="shared" ref="N324:N387" si="5">L324&amp;M324</f>
        <v>埼玉県寄居町</v>
      </c>
      <c r="O324" s="622">
        <v>10.210000000000001</v>
      </c>
      <c r="P324" s="625">
        <v>10.17</v>
      </c>
      <c r="Q324" s="658">
        <v>10.14</v>
      </c>
      <c r="T324" s="1"/>
      <c r="U324" s="1"/>
      <c r="V324" s="1"/>
      <c r="W324" s="1"/>
      <c r="X324" s="1"/>
    </row>
    <row r="325" spans="5:24">
      <c r="E325" s="2"/>
      <c r="G325" s="7" t="s">
        <v>596</v>
      </c>
      <c r="H325" s="7" t="s">
        <v>1001</v>
      </c>
      <c r="J325" s="11" t="s">
        <v>951</v>
      </c>
      <c r="K325" s="16">
        <v>0.03</v>
      </c>
      <c r="L325" s="634" t="s">
        <v>614</v>
      </c>
      <c r="M325" s="625" t="s">
        <v>1266</v>
      </c>
      <c r="N325" s="642" t="str">
        <f t="shared" si="5"/>
        <v>千葉県東金市</v>
      </c>
      <c r="O325" s="622">
        <v>10.210000000000001</v>
      </c>
      <c r="P325" s="625">
        <v>10.17</v>
      </c>
      <c r="Q325" s="658">
        <v>10.14</v>
      </c>
      <c r="T325" s="1"/>
      <c r="U325" s="1"/>
      <c r="V325" s="1"/>
      <c r="W325" s="1"/>
      <c r="X325" s="1"/>
    </row>
    <row r="326" spans="5:24">
      <c r="E326" s="2"/>
      <c r="G326" s="7" t="s">
        <v>596</v>
      </c>
      <c r="H326" s="7" t="s">
        <v>1002</v>
      </c>
      <c r="J326" s="11" t="s">
        <v>951</v>
      </c>
      <c r="K326" s="16">
        <v>0.03</v>
      </c>
      <c r="L326" s="634" t="s">
        <v>614</v>
      </c>
      <c r="M326" s="625" t="s">
        <v>1277</v>
      </c>
      <c r="N326" s="642" t="str">
        <f t="shared" si="5"/>
        <v>千葉県君津市</v>
      </c>
      <c r="O326" s="622">
        <v>10.210000000000001</v>
      </c>
      <c r="P326" s="625">
        <v>10.17</v>
      </c>
      <c r="Q326" s="658">
        <v>10.14</v>
      </c>
      <c r="T326" s="1"/>
      <c r="U326" s="1"/>
      <c r="V326" s="1"/>
      <c r="W326" s="1"/>
      <c r="X326" s="1"/>
    </row>
    <row r="327" spans="5:24">
      <c r="E327" s="2"/>
      <c r="G327" s="7" t="s">
        <v>596</v>
      </c>
      <c r="H327" s="7" t="s">
        <v>1003</v>
      </c>
      <c r="J327" s="11" t="s">
        <v>951</v>
      </c>
      <c r="K327" s="16">
        <v>0.03</v>
      </c>
      <c r="L327" s="634" t="s">
        <v>614</v>
      </c>
      <c r="M327" s="625" t="s">
        <v>1278</v>
      </c>
      <c r="N327" s="642" t="str">
        <f t="shared" si="5"/>
        <v>千葉県富津市</v>
      </c>
      <c r="O327" s="622">
        <v>10.210000000000001</v>
      </c>
      <c r="P327" s="625">
        <v>10.17</v>
      </c>
      <c r="Q327" s="658">
        <v>10.14</v>
      </c>
      <c r="T327" s="1"/>
      <c r="U327" s="1"/>
      <c r="V327" s="1"/>
      <c r="W327" s="1"/>
      <c r="X327" s="1"/>
    </row>
    <row r="328" spans="5:24">
      <c r="E328" s="2"/>
      <c r="G328" s="7" t="s">
        <v>596</v>
      </c>
      <c r="H328" s="7" t="s">
        <v>1004</v>
      </c>
      <c r="J328" s="11" t="s">
        <v>951</v>
      </c>
      <c r="K328" s="16">
        <v>0.03</v>
      </c>
      <c r="L328" s="634" t="s">
        <v>614</v>
      </c>
      <c r="M328" s="625" t="s">
        <v>1282</v>
      </c>
      <c r="N328" s="642" t="str">
        <f t="shared" si="5"/>
        <v>千葉県八街市</v>
      </c>
      <c r="O328" s="622">
        <v>10.210000000000001</v>
      </c>
      <c r="P328" s="625">
        <v>10.17</v>
      </c>
      <c r="Q328" s="658">
        <v>10.14</v>
      </c>
      <c r="T328" s="1"/>
      <c r="U328" s="1"/>
      <c r="V328" s="1"/>
      <c r="W328" s="1"/>
      <c r="X328" s="1"/>
    </row>
    <row r="329" spans="5:24">
      <c r="E329" s="2"/>
      <c r="G329" s="7" t="s">
        <v>596</v>
      </c>
      <c r="H329" s="7" t="s">
        <v>1005</v>
      </c>
      <c r="J329" s="11" t="s">
        <v>951</v>
      </c>
      <c r="K329" s="16">
        <v>0.03</v>
      </c>
      <c r="L329" s="634" t="s">
        <v>614</v>
      </c>
      <c r="M329" s="625" t="s">
        <v>2449</v>
      </c>
      <c r="N329" s="642" t="str">
        <f t="shared" si="5"/>
        <v>千葉県富里市</v>
      </c>
      <c r="O329" s="622">
        <v>10.210000000000001</v>
      </c>
      <c r="P329" s="625">
        <v>10.17</v>
      </c>
      <c r="Q329" s="658">
        <v>10.14</v>
      </c>
      <c r="T329" s="1"/>
      <c r="U329" s="1"/>
      <c r="V329" s="1"/>
      <c r="W329" s="1"/>
      <c r="X329" s="1"/>
    </row>
    <row r="330" spans="5:24">
      <c r="E330" s="2"/>
      <c r="G330" s="7" t="s">
        <v>596</v>
      </c>
      <c r="H330" s="7" t="s">
        <v>1006</v>
      </c>
      <c r="J330" s="11" t="s">
        <v>951</v>
      </c>
      <c r="K330" s="16">
        <v>0.03</v>
      </c>
      <c r="L330" s="634" t="s">
        <v>614</v>
      </c>
      <c r="M330" s="625" t="s">
        <v>1289</v>
      </c>
      <c r="N330" s="642" t="str">
        <f t="shared" si="5"/>
        <v>千葉県山武市</v>
      </c>
      <c r="O330" s="622">
        <v>10.210000000000001</v>
      </c>
      <c r="P330" s="625">
        <v>10.17</v>
      </c>
      <c r="Q330" s="658">
        <v>10.14</v>
      </c>
      <c r="T330" s="1"/>
      <c r="U330" s="1"/>
      <c r="V330" s="1"/>
      <c r="W330" s="1"/>
      <c r="X330" s="1"/>
    </row>
    <row r="331" spans="5:24">
      <c r="E331" s="2"/>
      <c r="G331" s="7" t="s">
        <v>596</v>
      </c>
      <c r="H331" s="7" t="s">
        <v>1007</v>
      </c>
      <c r="J331" s="11" t="s">
        <v>951</v>
      </c>
      <c r="K331" s="16">
        <v>0.03</v>
      </c>
      <c r="L331" s="634" t="s">
        <v>614</v>
      </c>
      <c r="M331" s="625" t="s">
        <v>2450</v>
      </c>
      <c r="N331" s="642" t="str">
        <f t="shared" si="5"/>
        <v>千葉県大網白里市</v>
      </c>
      <c r="O331" s="622">
        <v>10.210000000000001</v>
      </c>
      <c r="P331" s="625">
        <v>10.17</v>
      </c>
      <c r="Q331" s="658">
        <v>10.14</v>
      </c>
      <c r="T331" s="1"/>
      <c r="U331" s="1"/>
      <c r="V331" s="1"/>
      <c r="W331" s="1"/>
      <c r="X331" s="1"/>
    </row>
    <row r="332" spans="5:24">
      <c r="E332" s="2"/>
      <c r="G332" s="7" t="s">
        <v>596</v>
      </c>
      <c r="H332" s="7" t="s">
        <v>1008</v>
      </c>
      <c r="J332" s="11" t="s">
        <v>951</v>
      </c>
      <c r="K332" s="16">
        <v>0.03</v>
      </c>
      <c r="L332" s="634" t="s">
        <v>614</v>
      </c>
      <c r="M332" s="625" t="s">
        <v>1304</v>
      </c>
      <c r="N332" s="642" t="str">
        <f t="shared" si="5"/>
        <v>千葉県長柄町</v>
      </c>
      <c r="O332" s="622">
        <v>10.210000000000001</v>
      </c>
      <c r="P332" s="625">
        <v>10.17</v>
      </c>
      <c r="Q332" s="658">
        <v>10.14</v>
      </c>
      <c r="T332" s="1"/>
      <c r="U332" s="1"/>
      <c r="V332" s="1"/>
      <c r="W332" s="1"/>
      <c r="X332" s="1"/>
    </row>
    <row r="333" spans="5:24">
      <c r="E333" s="2"/>
      <c r="G333" s="7" t="s">
        <v>596</v>
      </c>
      <c r="H333" s="7" t="s">
        <v>1009</v>
      </c>
      <c r="J333" s="11" t="s">
        <v>951</v>
      </c>
      <c r="K333" s="16">
        <v>0.03</v>
      </c>
      <c r="L333" s="634" t="s">
        <v>614</v>
      </c>
      <c r="M333" s="625" t="s">
        <v>1305</v>
      </c>
      <c r="N333" s="642" t="str">
        <f t="shared" si="5"/>
        <v>千葉県長南町</v>
      </c>
      <c r="O333" s="622">
        <v>10.210000000000001</v>
      </c>
      <c r="P333" s="625">
        <v>10.17</v>
      </c>
      <c r="Q333" s="658">
        <v>10.14</v>
      </c>
      <c r="T333" s="1"/>
      <c r="U333" s="1"/>
      <c r="V333" s="1"/>
      <c r="W333" s="1"/>
      <c r="X333" s="1"/>
    </row>
    <row r="334" spans="5:24">
      <c r="E334" s="2"/>
      <c r="G334" s="7" t="s">
        <v>596</v>
      </c>
      <c r="H334" s="7" t="s">
        <v>1010</v>
      </c>
      <c r="J334" s="11" t="s">
        <v>951</v>
      </c>
      <c r="K334" s="16">
        <v>0.03</v>
      </c>
      <c r="L334" s="634" t="s">
        <v>620</v>
      </c>
      <c r="M334" s="625" t="s">
        <v>2451</v>
      </c>
      <c r="N334" s="642" t="str">
        <f t="shared" si="5"/>
        <v>神奈川県南足柄市</v>
      </c>
      <c r="O334" s="622">
        <v>10.210000000000001</v>
      </c>
      <c r="P334" s="625">
        <v>10.17</v>
      </c>
      <c r="Q334" s="658">
        <v>10.14</v>
      </c>
      <c r="T334" s="1"/>
      <c r="U334" s="1"/>
      <c r="V334" s="1"/>
      <c r="W334" s="1"/>
      <c r="X334" s="1"/>
    </row>
    <row r="335" spans="5:24">
      <c r="E335" s="2"/>
      <c r="G335" s="7" t="s">
        <v>596</v>
      </c>
      <c r="H335" s="7" t="s">
        <v>1011</v>
      </c>
      <c r="J335" s="11" t="s">
        <v>951</v>
      </c>
      <c r="K335" s="16">
        <v>0.03</v>
      </c>
      <c r="L335" s="634" t="s">
        <v>620</v>
      </c>
      <c r="M335" s="625" t="s">
        <v>2452</v>
      </c>
      <c r="N335" s="642" t="str">
        <f t="shared" si="5"/>
        <v>神奈川県山北町</v>
      </c>
      <c r="O335" s="622">
        <v>10.210000000000001</v>
      </c>
      <c r="P335" s="625">
        <v>10.17</v>
      </c>
      <c r="Q335" s="658">
        <v>10.14</v>
      </c>
      <c r="T335" s="1"/>
      <c r="U335" s="1"/>
      <c r="V335" s="1"/>
      <c r="W335" s="1"/>
      <c r="X335" s="1"/>
    </row>
    <row r="336" spans="5:24">
      <c r="E336" s="2"/>
      <c r="G336" s="7" t="s">
        <v>596</v>
      </c>
      <c r="H336" s="7" t="s">
        <v>1012</v>
      </c>
      <c r="J336" s="11" t="s">
        <v>951</v>
      </c>
      <c r="K336" s="16">
        <v>0.03</v>
      </c>
      <c r="L336" s="634" t="s">
        <v>620</v>
      </c>
      <c r="M336" s="625" t="s">
        <v>1399</v>
      </c>
      <c r="N336" s="642" t="str">
        <f t="shared" si="5"/>
        <v>神奈川県箱根町</v>
      </c>
      <c r="O336" s="622">
        <v>10.210000000000001</v>
      </c>
      <c r="P336" s="625">
        <v>10.17</v>
      </c>
      <c r="Q336" s="658">
        <v>10.14</v>
      </c>
      <c r="T336" s="1"/>
      <c r="U336" s="1"/>
      <c r="V336" s="1"/>
      <c r="W336" s="1"/>
      <c r="X336" s="1"/>
    </row>
    <row r="337" spans="5:24">
      <c r="E337" s="2"/>
      <c r="G337" s="7" t="s">
        <v>596</v>
      </c>
      <c r="H337" s="7" t="s">
        <v>1013</v>
      </c>
      <c r="J337" s="11" t="s">
        <v>951</v>
      </c>
      <c r="K337" s="16">
        <v>0.03</v>
      </c>
      <c r="L337" s="634" t="s">
        <v>623</v>
      </c>
      <c r="M337" s="625" t="s">
        <v>1404</v>
      </c>
      <c r="N337" s="642" t="str">
        <f t="shared" si="5"/>
        <v>新潟県新潟市</v>
      </c>
      <c r="O337" s="622">
        <v>10.210000000000001</v>
      </c>
      <c r="P337" s="625">
        <v>10.17</v>
      </c>
      <c r="Q337" s="658">
        <v>10.14</v>
      </c>
      <c r="T337" s="1"/>
      <c r="U337" s="1"/>
      <c r="V337" s="1"/>
      <c r="W337" s="1"/>
      <c r="X337" s="1"/>
    </row>
    <row r="338" spans="5:24">
      <c r="E338" s="2"/>
      <c r="G338" s="7" t="s">
        <v>596</v>
      </c>
      <c r="H338" s="7" t="s">
        <v>1014</v>
      </c>
      <c r="J338" s="11" t="s">
        <v>951</v>
      </c>
      <c r="K338" s="16">
        <v>0.03</v>
      </c>
      <c r="L338" s="634" t="s">
        <v>626</v>
      </c>
      <c r="M338" s="625" t="s">
        <v>1434</v>
      </c>
      <c r="N338" s="642" t="str">
        <f t="shared" si="5"/>
        <v>富山県富山市</v>
      </c>
      <c r="O338" s="622">
        <v>10.210000000000001</v>
      </c>
      <c r="P338" s="625">
        <v>10.17</v>
      </c>
      <c r="Q338" s="658">
        <v>10.14</v>
      </c>
      <c r="T338" s="1"/>
      <c r="U338" s="1"/>
      <c r="V338" s="1"/>
      <c r="W338" s="1"/>
      <c r="X338" s="1"/>
    </row>
    <row r="339" spans="5:24">
      <c r="E339" s="2"/>
      <c r="G339" s="7" t="s">
        <v>596</v>
      </c>
      <c r="H339" s="7" t="s">
        <v>1015</v>
      </c>
      <c r="J339" s="11" t="s">
        <v>951</v>
      </c>
      <c r="K339" s="16">
        <v>0.03</v>
      </c>
      <c r="L339" s="634" t="s">
        <v>629</v>
      </c>
      <c r="M339" s="625" t="s">
        <v>1448</v>
      </c>
      <c r="N339" s="642" t="str">
        <f t="shared" si="5"/>
        <v>石川県金沢市</v>
      </c>
      <c r="O339" s="622">
        <v>10.210000000000001</v>
      </c>
      <c r="P339" s="625">
        <v>10.17</v>
      </c>
      <c r="Q339" s="658">
        <v>10.14</v>
      </c>
      <c r="T339" s="1"/>
      <c r="U339" s="1"/>
      <c r="V339" s="1"/>
      <c r="W339" s="1"/>
      <c r="X339" s="1"/>
    </row>
    <row r="340" spans="5:24">
      <c r="E340" s="2"/>
      <c r="G340" s="7" t="s">
        <v>596</v>
      </c>
      <c r="H340" s="7" t="s">
        <v>1016</v>
      </c>
      <c r="J340" s="11" t="s">
        <v>951</v>
      </c>
      <c r="K340" s="16">
        <v>0.03</v>
      </c>
      <c r="L340" s="634" t="s">
        <v>629</v>
      </c>
      <c r="M340" s="625" t="s">
        <v>1461</v>
      </c>
      <c r="N340" s="642" t="str">
        <f t="shared" si="5"/>
        <v>石川県内灘町</v>
      </c>
      <c r="O340" s="622">
        <v>10.210000000000001</v>
      </c>
      <c r="P340" s="625">
        <v>10.17</v>
      </c>
      <c r="Q340" s="658">
        <v>10.14</v>
      </c>
      <c r="T340" s="1"/>
      <c r="U340" s="1"/>
      <c r="V340" s="1"/>
      <c r="W340" s="1"/>
      <c r="X340" s="1"/>
    </row>
    <row r="341" spans="5:24">
      <c r="E341" s="2"/>
      <c r="G341" s="7" t="s">
        <v>596</v>
      </c>
      <c r="H341" s="7" t="s">
        <v>1017</v>
      </c>
      <c r="J341" s="11" t="s">
        <v>951</v>
      </c>
      <c r="K341" s="16">
        <v>0.03</v>
      </c>
      <c r="L341" s="634" t="s">
        <v>632</v>
      </c>
      <c r="M341" s="625" t="s">
        <v>1467</v>
      </c>
      <c r="N341" s="642" t="str">
        <f t="shared" si="5"/>
        <v>福井県福井市</v>
      </c>
      <c r="O341" s="622">
        <v>10.210000000000001</v>
      </c>
      <c r="P341" s="625">
        <v>10.17</v>
      </c>
      <c r="Q341" s="658">
        <v>10.14</v>
      </c>
      <c r="T341" s="1"/>
      <c r="U341" s="1"/>
      <c r="V341" s="1"/>
      <c r="W341" s="1"/>
      <c r="X341" s="1"/>
    </row>
    <row r="342" spans="5:24">
      <c r="E342" s="2"/>
      <c r="G342" s="7" t="s">
        <v>596</v>
      </c>
      <c r="H342" s="7" t="s">
        <v>1018</v>
      </c>
      <c r="J342" s="11" t="s">
        <v>951</v>
      </c>
      <c r="K342" s="16">
        <v>0.03</v>
      </c>
      <c r="L342" s="634" t="s">
        <v>635</v>
      </c>
      <c r="M342" s="625" t="s">
        <v>1483</v>
      </c>
      <c r="N342" s="642" t="str">
        <f t="shared" si="5"/>
        <v>山梨県甲府市</v>
      </c>
      <c r="O342" s="622">
        <v>10.210000000000001</v>
      </c>
      <c r="P342" s="625">
        <v>10.17</v>
      </c>
      <c r="Q342" s="658">
        <v>10.14</v>
      </c>
      <c r="T342" s="1"/>
      <c r="U342" s="1"/>
      <c r="V342" s="1"/>
      <c r="W342" s="1"/>
      <c r="X342" s="1"/>
    </row>
    <row r="343" spans="5:24">
      <c r="E343" s="2"/>
      <c r="G343" s="7" t="s">
        <v>596</v>
      </c>
      <c r="H343" s="7" t="s">
        <v>1019</v>
      </c>
      <c r="J343" s="11" t="s">
        <v>951</v>
      </c>
      <c r="K343" s="16">
        <v>0.03</v>
      </c>
      <c r="L343" s="634" t="s">
        <v>635</v>
      </c>
      <c r="M343" s="625" t="s">
        <v>2453</v>
      </c>
      <c r="N343" s="642" t="str">
        <f t="shared" si="5"/>
        <v>山梨県南アルプス市</v>
      </c>
      <c r="O343" s="622">
        <v>10.210000000000001</v>
      </c>
      <c r="P343" s="625">
        <v>10.17</v>
      </c>
      <c r="Q343" s="658">
        <v>10.14</v>
      </c>
      <c r="T343" s="1"/>
      <c r="U343" s="1"/>
      <c r="V343" s="1"/>
      <c r="W343" s="1"/>
      <c r="X343" s="1"/>
    </row>
    <row r="344" spans="5:24">
      <c r="E344" s="2"/>
      <c r="G344" s="7" t="s">
        <v>596</v>
      </c>
      <c r="H344" s="7" t="s">
        <v>1020</v>
      </c>
      <c r="J344" s="11" t="s">
        <v>951</v>
      </c>
      <c r="K344" s="16">
        <v>0.03</v>
      </c>
      <c r="L344" s="634" t="s">
        <v>635</v>
      </c>
      <c r="M344" s="625" t="s">
        <v>2528</v>
      </c>
      <c r="N344" s="642" t="str">
        <f t="shared" si="5"/>
        <v>山梨県南部町</v>
      </c>
      <c r="O344" s="622">
        <v>10.210000000000001</v>
      </c>
      <c r="P344" s="625">
        <v>10.17</v>
      </c>
      <c r="Q344" s="658">
        <v>10.14</v>
      </c>
      <c r="T344" s="1"/>
      <c r="U344" s="1"/>
      <c r="V344" s="1"/>
      <c r="W344" s="1"/>
      <c r="X344" s="1"/>
    </row>
    <row r="345" spans="5:24">
      <c r="E345" s="2"/>
      <c r="G345" s="7" t="s">
        <v>596</v>
      </c>
      <c r="H345" s="7" t="s">
        <v>1021</v>
      </c>
      <c r="J345" s="11" t="s">
        <v>951</v>
      </c>
      <c r="K345" s="16">
        <v>0.03</v>
      </c>
      <c r="L345" s="634" t="s">
        <v>638</v>
      </c>
      <c r="M345" s="625" t="s">
        <v>1509</v>
      </c>
      <c r="N345" s="642" t="str">
        <f t="shared" si="5"/>
        <v>長野県長野市</v>
      </c>
      <c r="O345" s="622">
        <v>10.210000000000001</v>
      </c>
      <c r="P345" s="625">
        <v>10.17</v>
      </c>
      <c r="Q345" s="658">
        <v>10.14</v>
      </c>
      <c r="T345" s="1"/>
      <c r="U345" s="1"/>
      <c r="V345" s="1"/>
      <c r="W345" s="1"/>
      <c r="X345" s="1"/>
    </row>
    <row r="346" spans="5:24">
      <c r="E346" s="2"/>
      <c r="G346" s="7" t="s">
        <v>596</v>
      </c>
      <c r="H346" s="7" t="s">
        <v>1022</v>
      </c>
      <c r="J346" s="11" t="s">
        <v>951</v>
      </c>
      <c r="K346" s="16">
        <v>0.03</v>
      </c>
      <c r="L346" s="634" t="s">
        <v>638</v>
      </c>
      <c r="M346" s="625" t="s">
        <v>1510</v>
      </c>
      <c r="N346" s="642" t="str">
        <f t="shared" si="5"/>
        <v>長野県松本市</v>
      </c>
      <c r="O346" s="622">
        <v>10.210000000000001</v>
      </c>
      <c r="P346" s="625">
        <v>10.17</v>
      </c>
      <c r="Q346" s="658">
        <v>10.14</v>
      </c>
      <c r="T346" s="1"/>
      <c r="U346" s="1"/>
      <c r="V346" s="1"/>
      <c r="W346" s="1"/>
      <c r="X346" s="1"/>
    </row>
    <row r="347" spans="5:24">
      <c r="E347" s="2"/>
      <c r="G347" s="7" t="s">
        <v>596</v>
      </c>
      <c r="H347" s="7" t="s">
        <v>1023</v>
      </c>
      <c r="J347" s="11" t="s">
        <v>951</v>
      </c>
      <c r="K347" s="16">
        <v>0.03</v>
      </c>
      <c r="L347" s="634" t="s">
        <v>638</v>
      </c>
      <c r="M347" s="625" t="s">
        <v>1523</v>
      </c>
      <c r="N347" s="642" t="str">
        <f t="shared" si="5"/>
        <v>長野県塩尻市</v>
      </c>
      <c r="O347" s="622">
        <v>10.210000000000001</v>
      </c>
      <c r="P347" s="625">
        <v>10.17</v>
      </c>
      <c r="Q347" s="658">
        <v>10.14</v>
      </c>
      <c r="T347" s="1"/>
      <c r="U347" s="1"/>
      <c r="V347" s="1"/>
      <c r="W347" s="1"/>
      <c r="X347" s="1"/>
    </row>
    <row r="348" spans="5:24">
      <c r="E348" s="2"/>
      <c r="G348" s="7" t="s">
        <v>596</v>
      </c>
      <c r="H348" s="7" t="s">
        <v>1024</v>
      </c>
      <c r="J348" s="11" t="s">
        <v>951</v>
      </c>
      <c r="K348" s="16">
        <v>0.03</v>
      </c>
      <c r="L348" s="634" t="s">
        <v>641</v>
      </c>
      <c r="M348" s="625" t="s">
        <v>1584</v>
      </c>
      <c r="N348" s="642" t="str">
        <f t="shared" si="5"/>
        <v>岐阜県大垣市</v>
      </c>
      <c r="O348" s="622">
        <v>10.210000000000001</v>
      </c>
      <c r="P348" s="625">
        <v>10.17</v>
      </c>
      <c r="Q348" s="658">
        <v>10.14</v>
      </c>
      <c r="T348" s="1"/>
      <c r="U348" s="1"/>
      <c r="V348" s="1"/>
      <c r="W348" s="1"/>
      <c r="X348" s="1"/>
    </row>
    <row r="349" spans="5:24">
      <c r="E349" s="2"/>
      <c r="G349" s="7" t="s">
        <v>596</v>
      </c>
      <c r="H349" s="7" t="s">
        <v>1025</v>
      </c>
      <c r="J349" s="11" t="s">
        <v>951</v>
      </c>
      <c r="K349" s="16">
        <v>0.03</v>
      </c>
      <c r="L349" s="634" t="s">
        <v>641</v>
      </c>
      <c r="M349" s="625" t="s">
        <v>1586</v>
      </c>
      <c r="N349" s="642" t="str">
        <f t="shared" si="5"/>
        <v>岐阜県多治見市</v>
      </c>
      <c r="O349" s="622">
        <v>10.210000000000001</v>
      </c>
      <c r="P349" s="625">
        <v>10.17</v>
      </c>
      <c r="Q349" s="658">
        <v>10.14</v>
      </c>
      <c r="T349" s="1"/>
      <c r="U349" s="1"/>
      <c r="V349" s="1"/>
      <c r="W349" s="1"/>
      <c r="X349" s="1"/>
    </row>
    <row r="350" spans="5:24">
      <c r="E350" s="2"/>
      <c r="G350" s="7" t="s">
        <v>596</v>
      </c>
      <c r="H350" s="7" t="s">
        <v>1026</v>
      </c>
      <c r="J350" s="11" t="s">
        <v>951</v>
      </c>
      <c r="K350" s="16">
        <v>0.03</v>
      </c>
      <c r="L350" s="634" t="s">
        <v>641</v>
      </c>
      <c r="M350" s="625" t="s">
        <v>2454</v>
      </c>
      <c r="N350" s="642" t="str">
        <f t="shared" si="5"/>
        <v>岐阜県美濃加茂市</v>
      </c>
      <c r="O350" s="622">
        <v>10.210000000000001</v>
      </c>
      <c r="P350" s="625">
        <v>10.17</v>
      </c>
      <c r="Q350" s="658">
        <v>10.14</v>
      </c>
      <c r="T350" s="1"/>
      <c r="U350" s="1"/>
      <c r="V350" s="1"/>
      <c r="W350" s="1"/>
      <c r="X350" s="1"/>
    </row>
    <row r="351" spans="5:24">
      <c r="E351" s="2"/>
      <c r="G351" s="7" t="s">
        <v>596</v>
      </c>
      <c r="H351" s="7" t="s">
        <v>1027</v>
      </c>
      <c r="J351" s="11" t="s">
        <v>951</v>
      </c>
      <c r="K351" s="16">
        <v>0.03</v>
      </c>
      <c r="L351" s="634" t="s">
        <v>641</v>
      </c>
      <c r="M351" s="625" t="s">
        <v>1595</v>
      </c>
      <c r="N351" s="642" t="str">
        <f t="shared" si="5"/>
        <v>岐阜県各務原市</v>
      </c>
      <c r="O351" s="622">
        <v>10.210000000000001</v>
      </c>
      <c r="P351" s="625">
        <v>10.17</v>
      </c>
      <c r="Q351" s="658">
        <v>10.14</v>
      </c>
      <c r="T351" s="1"/>
      <c r="U351" s="1"/>
      <c r="V351" s="1"/>
      <c r="W351" s="1"/>
      <c r="X351" s="1"/>
    </row>
    <row r="352" spans="5:24">
      <c r="E352" s="2"/>
      <c r="G352" s="7" t="s">
        <v>596</v>
      </c>
      <c r="H352" s="7" t="s">
        <v>1028</v>
      </c>
      <c r="J352" s="11" t="s">
        <v>951</v>
      </c>
      <c r="K352" s="16">
        <v>0.03</v>
      </c>
      <c r="L352" s="634" t="s">
        <v>641</v>
      </c>
      <c r="M352" s="625" t="s">
        <v>1596</v>
      </c>
      <c r="N352" s="642" t="str">
        <f t="shared" si="5"/>
        <v>岐阜県可児市</v>
      </c>
      <c r="O352" s="622">
        <v>10.210000000000001</v>
      </c>
      <c r="P352" s="625">
        <v>10.17</v>
      </c>
      <c r="Q352" s="658">
        <v>10.14</v>
      </c>
      <c r="T352" s="1"/>
      <c r="U352" s="1"/>
      <c r="V352" s="1"/>
      <c r="W352" s="1"/>
      <c r="X352" s="1"/>
    </row>
    <row r="353" spans="5:24">
      <c r="E353" s="2"/>
      <c r="G353" s="7" t="s">
        <v>596</v>
      </c>
      <c r="H353" s="7" t="s">
        <v>1029</v>
      </c>
      <c r="J353" s="11" t="s">
        <v>951</v>
      </c>
      <c r="K353" s="16">
        <v>0.03</v>
      </c>
      <c r="L353" s="634" t="s">
        <v>644</v>
      </c>
      <c r="M353" s="625" t="s">
        <v>1625</v>
      </c>
      <c r="N353" s="642" t="str">
        <f t="shared" si="5"/>
        <v>静岡県浜松市</v>
      </c>
      <c r="O353" s="622">
        <v>10.210000000000001</v>
      </c>
      <c r="P353" s="625">
        <v>10.17</v>
      </c>
      <c r="Q353" s="658">
        <v>10.14</v>
      </c>
      <c r="T353" s="1"/>
      <c r="U353" s="1"/>
      <c r="V353" s="1"/>
      <c r="W353" s="1"/>
      <c r="X353" s="1"/>
    </row>
    <row r="354" spans="5:24">
      <c r="E354" s="2"/>
      <c r="G354" s="7" t="s">
        <v>596</v>
      </c>
      <c r="H354" s="7" t="s">
        <v>1030</v>
      </c>
      <c r="J354" s="11" t="s">
        <v>951</v>
      </c>
      <c r="K354" s="16">
        <v>0.03</v>
      </c>
      <c r="L354" s="634" t="s">
        <v>644</v>
      </c>
      <c r="M354" s="625" t="s">
        <v>1626</v>
      </c>
      <c r="N354" s="642" t="str">
        <f t="shared" si="5"/>
        <v>静岡県沼津市</v>
      </c>
      <c r="O354" s="622">
        <v>10.210000000000001</v>
      </c>
      <c r="P354" s="625">
        <v>10.17</v>
      </c>
      <c r="Q354" s="658">
        <v>10.14</v>
      </c>
      <c r="T354" s="1"/>
      <c r="U354" s="1"/>
      <c r="V354" s="1"/>
      <c r="W354" s="1"/>
      <c r="X354" s="1"/>
    </row>
    <row r="355" spans="5:24">
      <c r="E355" s="2"/>
      <c r="G355" s="7" t="s">
        <v>596</v>
      </c>
      <c r="H355" s="7" t="s">
        <v>1031</v>
      </c>
      <c r="J355" s="11" t="s">
        <v>951</v>
      </c>
      <c r="K355" s="16">
        <v>0.03</v>
      </c>
      <c r="L355" s="634" t="s">
        <v>644</v>
      </c>
      <c r="M355" s="625" t="s">
        <v>1628</v>
      </c>
      <c r="N355" s="642" t="str">
        <f t="shared" si="5"/>
        <v>静岡県三島市</v>
      </c>
      <c r="O355" s="622">
        <v>10.210000000000001</v>
      </c>
      <c r="P355" s="625">
        <v>10.17</v>
      </c>
      <c r="Q355" s="658">
        <v>10.14</v>
      </c>
      <c r="T355" s="1"/>
      <c r="U355" s="1"/>
      <c r="V355" s="1"/>
      <c r="W355" s="1"/>
      <c r="X355" s="1"/>
    </row>
    <row r="356" spans="5:24">
      <c r="E356" s="2"/>
      <c r="G356" s="7" t="s">
        <v>600</v>
      </c>
      <c r="H356" s="7" t="s">
        <v>1032</v>
      </c>
      <c r="J356" s="11" t="s">
        <v>951</v>
      </c>
      <c r="K356" s="16">
        <v>0.03</v>
      </c>
      <c r="L356" s="634" t="s">
        <v>644</v>
      </c>
      <c r="M356" s="625" t="s">
        <v>1629</v>
      </c>
      <c r="N356" s="642" t="str">
        <f t="shared" si="5"/>
        <v>静岡県富士宮市</v>
      </c>
      <c r="O356" s="622">
        <v>10.210000000000001</v>
      </c>
      <c r="P356" s="625">
        <v>10.17</v>
      </c>
      <c r="Q356" s="658">
        <v>10.14</v>
      </c>
      <c r="T356" s="1"/>
      <c r="U356" s="1"/>
      <c r="V356" s="1"/>
      <c r="W356" s="1"/>
      <c r="X356" s="1"/>
    </row>
    <row r="357" spans="5:24">
      <c r="E357" s="2"/>
      <c r="G357" s="7" t="s">
        <v>600</v>
      </c>
      <c r="H357" s="7" t="s">
        <v>1033</v>
      </c>
      <c r="J357" s="11" t="s">
        <v>951</v>
      </c>
      <c r="K357" s="16">
        <v>0.03</v>
      </c>
      <c r="L357" s="634" t="s">
        <v>644</v>
      </c>
      <c r="M357" s="625" t="s">
        <v>1631</v>
      </c>
      <c r="N357" s="642" t="str">
        <f t="shared" si="5"/>
        <v>静岡県島田市</v>
      </c>
      <c r="O357" s="622">
        <v>10.210000000000001</v>
      </c>
      <c r="P357" s="625">
        <v>10.17</v>
      </c>
      <c r="Q357" s="658">
        <v>10.14</v>
      </c>
      <c r="T357" s="1"/>
      <c r="U357" s="1"/>
      <c r="V357" s="1"/>
      <c r="W357" s="1"/>
      <c r="X357" s="1"/>
    </row>
    <row r="358" spans="5:24">
      <c r="E358" s="2"/>
      <c r="G358" s="7" t="s">
        <v>600</v>
      </c>
      <c r="H358" s="7" t="s">
        <v>1034</v>
      </c>
      <c r="J358" s="11" t="s">
        <v>951</v>
      </c>
      <c r="K358" s="16">
        <v>0.03</v>
      </c>
      <c r="L358" s="634" t="s">
        <v>644</v>
      </c>
      <c r="M358" s="625" t="s">
        <v>1632</v>
      </c>
      <c r="N358" s="642" t="str">
        <f t="shared" si="5"/>
        <v>静岡県富士市</v>
      </c>
      <c r="O358" s="622">
        <v>10.210000000000001</v>
      </c>
      <c r="P358" s="625">
        <v>10.17</v>
      </c>
      <c r="Q358" s="658">
        <v>10.14</v>
      </c>
      <c r="T358" s="1"/>
      <c r="U358" s="1"/>
      <c r="V358" s="1"/>
      <c r="W358" s="1"/>
      <c r="X358" s="1"/>
    </row>
    <row r="359" spans="5:24">
      <c r="E359" s="2"/>
      <c r="G359" s="7" t="s">
        <v>600</v>
      </c>
      <c r="H359" s="7" t="s">
        <v>1035</v>
      </c>
      <c r="J359" s="11" t="s">
        <v>951</v>
      </c>
      <c r="K359" s="16">
        <v>0.03</v>
      </c>
      <c r="L359" s="634" t="s">
        <v>644</v>
      </c>
      <c r="M359" s="625" t="s">
        <v>1633</v>
      </c>
      <c r="N359" s="642" t="str">
        <f t="shared" si="5"/>
        <v>静岡県磐田市</v>
      </c>
      <c r="O359" s="622">
        <v>10.210000000000001</v>
      </c>
      <c r="P359" s="625">
        <v>10.17</v>
      </c>
      <c r="Q359" s="658">
        <v>10.14</v>
      </c>
      <c r="T359" s="1"/>
      <c r="U359" s="1"/>
      <c r="V359" s="1"/>
      <c r="W359" s="1"/>
      <c r="X359" s="1"/>
    </row>
    <row r="360" spans="5:24">
      <c r="E360" s="2"/>
      <c r="G360" s="7" t="s">
        <v>600</v>
      </c>
      <c r="H360" s="7" t="s">
        <v>1036</v>
      </c>
      <c r="J360" s="11" t="s">
        <v>951</v>
      </c>
      <c r="K360" s="16">
        <v>0.03</v>
      </c>
      <c r="L360" s="634" t="s">
        <v>644</v>
      </c>
      <c r="M360" s="625" t="s">
        <v>1634</v>
      </c>
      <c r="N360" s="642" t="str">
        <f t="shared" si="5"/>
        <v>静岡県焼津市</v>
      </c>
      <c r="O360" s="622">
        <v>10.210000000000001</v>
      </c>
      <c r="P360" s="625">
        <v>10.17</v>
      </c>
      <c r="Q360" s="658">
        <v>10.14</v>
      </c>
      <c r="T360" s="1"/>
      <c r="U360" s="1"/>
      <c r="V360" s="1"/>
      <c r="W360" s="1"/>
      <c r="X360" s="1"/>
    </row>
    <row r="361" spans="5:24">
      <c r="E361" s="2"/>
      <c r="G361" s="7" t="s">
        <v>600</v>
      </c>
      <c r="H361" s="7" t="s">
        <v>1037</v>
      </c>
      <c r="J361" s="11" t="s">
        <v>951</v>
      </c>
      <c r="K361" s="16">
        <v>0.03</v>
      </c>
      <c r="L361" s="634" t="s">
        <v>644</v>
      </c>
      <c r="M361" s="625" t="s">
        <v>1635</v>
      </c>
      <c r="N361" s="642" t="str">
        <f t="shared" si="5"/>
        <v>静岡県掛川市</v>
      </c>
      <c r="O361" s="622">
        <v>10.210000000000001</v>
      </c>
      <c r="P361" s="625">
        <v>10.17</v>
      </c>
      <c r="Q361" s="658">
        <v>10.14</v>
      </c>
      <c r="T361" s="1"/>
      <c r="U361" s="1"/>
      <c r="V361" s="1"/>
      <c r="W361" s="1"/>
      <c r="X361" s="1"/>
    </row>
    <row r="362" spans="5:24">
      <c r="E362" s="2"/>
      <c r="G362" s="7" t="s">
        <v>600</v>
      </c>
      <c r="H362" s="7" t="s">
        <v>1038</v>
      </c>
      <c r="J362" s="11" t="s">
        <v>951</v>
      </c>
      <c r="K362" s="16">
        <v>0.03</v>
      </c>
      <c r="L362" s="634" t="s">
        <v>644</v>
      </c>
      <c r="M362" s="625" t="s">
        <v>1636</v>
      </c>
      <c r="N362" s="642" t="str">
        <f t="shared" si="5"/>
        <v>静岡県藤枝市</v>
      </c>
      <c r="O362" s="622">
        <v>10.210000000000001</v>
      </c>
      <c r="P362" s="625">
        <v>10.17</v>
      </c>
      <c r="Q362" s="658">
        <v>10.14</v>
      </c>
      <c r="T362" s="1"/>
      <c r="U362" s="1"/>
      <c r="V362" s="1"/>
      <c r="W362" s="1"/>
      <c r="X362" s="1"/>
    </row>
    <row r="363" spans="5:24">
      <c r="E363" s="2"/>
      <c r="G363" s="7" t="s">
        <v>600</v>
      </c>
      <c r="H363" s="7" t="s">
        <v>1039</v>
      </c>
      <c r="J363" s="11" t="s">
        <v>951</v>
      </c>
      <c r="K363" s="16">
        <v>0.03</v>
      </c>
      <c r="L363" s="634" t="s">
        <v>644</v>
      </c>
      <c r="M363" s="625" t="s">
        <v>1637</v>
      </c>
      <c r="N363" s="642" t="str">
        <f t="shared" si="5"/>
        <v>静岡県御殿場市</v>
      </c>
      <c r="O363" s="622">
        <v>10.210000000000001</v>
      </c>
      <c r="P363" s="625">
        <v>10.17</v>
      </c>
      <c r="Q363" s="658">
        <v>10.14</v>
      </c>
      <c r="T363" s="1"/>
      <c r="U363" s="1"/>
      <c r="V363" s="1"/>
      <c r="W363" s="1"/>
      <c r="X363" s="1"/>
    </row>
    <row r="364" spans="5:24">
      <c r="E364" s="2"/>
      <c r="G364" s="7" t="s">
        <v>600</v>
      </c>
      <c r="H364" s="7" t="s">
        <v>1040</v>
      </c>
      <c r="J364" s="11" t="s">
        <v>951</v>
      </c>
      <c r="K364" s="16">
        <v>0.03</v>
      </c>
      <c r="L364" s="634" t="s">
        <v>644</v>
      </c>
      <c r="M364" s="625" t="s">
        <v>1638</v>
      </c>
      <c r="N364" s="642" t="str">
        <f t="shared" si="5"/>
        <v>静岡県袋井市</v>
      </c>
      <c r="O364" s="622">
        <v>10.210000000000001</v>
      </c>
      <c r="P364" s="625">
        <v>10.17</v>
      </c>
      <c r="Q364" s="658">
        <v>10.14</v>
      </c>
      <c r="T364" s="1"/>
      <c r="U364" s="1"/>
      <c r="V364" s="1"/>
      <c r="W364" s="1"/>
      <c r="X364" s="1"/>
    </row>
    <row r="365" spans="5:24">
      <c r="E365" s="2"/>
      <c r="G365" s="7" t="s">
        <v>600</v>
      </c>
      <c r="H365" s="7" t="s">
        <v>1041</v>
      </c>
      <c r="J365" s="11" t="s">
        <v>951</v>
      </c>
      <c r="K365" s="16">
        <v>0.03</v>
      </c>
      <c r="L365" s="634" t="s">
        <v>644</v>
      </c>
      <c r="M365" s="625" t="s">
        <v>1640</v>
      </c>
      <c r="N365" s="642" t="str">
        <f t="shared" si="5"/>
        <v>静岡県裾野市</v>
      </c>
      <c r="O365" s="622">
        <v>10.210000000000001</v>
      </c>
      <c r="P365" s="625">
        <v>10.17</v>
      </c>
      <c r="Q365" s="658">
        <v>10.14</v>
      </c>
      <c r="T365" s="1"/>
      <c r="U365" s="1"/>
      <c r="V365" s="1"/>
      <c r="W365" s="1"/>
      <c r="X365" s="1"/>
    </row>
    <row r="366" spans="5:24">
      <c r="E366" s="2"/>
      <c r="G366" s="7" t="s">
        <v>600</v>
      </c>
      <c r="H366" s="7" t="s">
        <v>1042</v>
      </c>
      <c r="J366" s="11" t="s">
        <v>951</v>
      </c>
      <c r="K366" s="16">
        <v>0.03</v>
      </c>
      <c r="L366" s="634" t="s">
        <v>644</v>
      </c>
      <c r="M366" s="625" t="s">
        <v>1652</v>
      </c>
      <c r="N366" s="642" t="str">
        <f t="shared" si="5"/>
        <v>静岡県函南町</v>
      </c>
      <c r="O366" s="622">
        <v>10.210000000000001</v>
      </c>
      <c r="P366" s="625">
        <v>10.17</v>
      </c>
      <c r="Q366" s="658">
        <v>10.14</v>
      </c>
      <c r="T366" s="1"/>
      <c r="U366" s="1"/>
      <c r="V366" s="1"/>
      <c r="W366" s="1"/>
      <c r="X366" s="1"/>
    </row>
    <row r="367" spans="5:24">
      <c r="E367" s="2"/>
      <c r="G367" s="7" t="s">
        <v>600</v>
      </c>
      <c r="H367" s="7" t="s">
        <v>680</v>
      </c>
      <c r="J367" s="11" t="s">
        <v>951</v>
      </c>
      <c r="K367" s="16">
        <v>0.03</v>
      </c>
      <c r="L367" s="634" t="s">
        <v>644</v>
      </c>
      <c r="M367" s="625" t="s">
        <v>2529</v>
      </c>
      <c r="N367" s="642" t="str">
        <f t="shared" si="5"/>
        <v>静岡県清水町</v>
      </c>
      <c r="O367" s="622">
        <v>10.210000000000001</v>
      </c>
      <c r="P367" s="625">
        <v>10.17</v>
      </c>
      <c r="Q367" s="658">
        <v>10.14</v>
      </c>
      <c r="T367" s="1"/>
      <c r="U367" s="1"/>
      <c r="V367" s="1"/>
      <c r="W367" s="1"/>
      <c r="X367" s="1"/>
    </row>
    <row r="368" spans="5:24">
      <c r="E368" s="2"/>
      <c r="G368" s="7" t="s">
        <v>600</v>
      </c>
      <c r="H368" s="7" t="s">
        <v>1043</v>
      </c>
      <c r="J368" s="11" t="s">
        <v>951</v>
      </c>
      <c r="K368" s="16">
        <v>0.03</v>
      </c>
      <c r="L368" s="634" t="s">
        <v>644</v>
      </c>
      <c r="M368" s="625" t="s">
        <v>1653</v>
      </c>
      <c r="N368" s="642" t="str">
        <f t="shared" si="5"/>
        <v>静岡県長泉町</v>
      </c>
      <c r="O368" s="622">
        <v>10.210000000000001</v>
      </c>
      <c r="P368" s="625">
        <v>10.17</v>
      </c>
      <c r="Q368" s="658">
        <v>10.14</v>
      </c>
      <c r="T368" s="1"/>
      <c r="U368" s="1"/>
      <c r="V368" s="1"/>
      <c r="W368" s="1"/>
      <c r="X368" s="1"/>
    </row>
    <row r="369" spans="5:24">
      <c r="E369" s="2"/>
      <c r="G369" s="7" t="s">
        <v>600</v>
      </c>
      <c r="H369" s="7" t="s">
        <v>1044</v>
      </c>
      <c r="J369" s="11" t="s">
        <v>951</v>
      </c>
      <c r="K369" s="16">
        <v>0.03</v>
      </c>
      <c r="L369" s="634" t="s">
        <v>644</v>
      </c>
      <c r="M369" s="625" t="s">
        <v>1654</v>
      </c>
      <c r="N369" s="642" t="str">
        <f t="shared" si="5"/>
        <v>静岡県小山町</v>
      </c>
      <c r="O369" s="622">
        <v>10.210000000000001</v>
      </c>
      <c r="P369" s="625">
        <v>10.17</v>
      </c>
      <c r="Q369" s="658">
        <v>10.14</v>
      </c>
      <c r="T369" s="1"/>
      <c r="U369" s="1"/>
      <c r="V369" s="1"/>
      <c r="W369" s="1"/>
      <c r="X369" s="1"/>
    </row>
    <row r="370" spans="5:24">
      <c r="E370" s="2"/>
      <c r="G370" s="7" t="s">
        <v>600</v>
      </c>
      <c r="H370" s="7" t="s">
        <v>1045</v>
      </c>
      <c r="J370" s="11" t="s">
        <v>951</v>
      </c>
      <c r="K370" s="16">
        <v>0.03</v>
      </c>
      <c r="L370" s="634" t="s">
        <v>644</v>
      </c>
      <c r="M370" s="625" t="s">
        <v>1656</v>
      </c>
      <c r="N370" s="642" t="str">
        <f t="shared" si="5"/>
        <v>静岡県川根本町</v>
      </c>
      <c r="O370" s="622">
        <v>10.210000000000001</v>
      </c>
      <c r="P370" s="625">
        <v>10.17</v>
      </c>
      <c r="Q370" s="658">
        <v>10.14</v>
      </c>
      <c r="T370" s="1"/>
      <c r="U370" s="1"/>
      <c r="V370" s="1"/>
      <c r="W370" s="1"/>
      <c r="X370" s="1"/>
    </row>
    <row r="371" spans="5:24">
      <c r="E371" s="2"/>
      <c r="G371" s="7" t="s">
        <v>600</v>
      </c>
      <c r="H371" s="7" t="s">
        <v>1046</v>
      </c>
      <c r="J371" s="11" t="s">
        <v>951</v>
      </c>
      <c r="K371" s="16">
        <v>0.03</v>
      </c>
      <c r="L371" s="634" t="s">
        <v>644</v>
      </c>
      <c r="M371" s="625" t="s">
        <v>2530</v>
      </c>
      <c r="N371" s="642" t="str">
        <f t="shared" si="5"/>
        <v>静岡県森町</v>
      </c>
      <c r="O371" s="622">
        <v>10.210000000000001</v>
      </c>
      <c r="P371" s="625">
        <v>10.17</v>
      </c>
      <c r="Q371" s="658">
        <v>10.14</v>
      </c>
      <c r="T371" s="1"/>
      <c r="U371" s="1"/>
      <c r="V371" s="1"/>
      <c r="W371" s="1"/>
      <c r="X371" s="1"/>
    </row>
    <row r="372" spans="5:24">
      <c r="E372" s="2"/>
      <c r="G372" s="7" t="s">
        <v>600</v>
      </c>
      <c r="H372" s="7" t="s">
        <v>1047</v>
      </c>
      <c r="J372" s="11" t="s">
        <v>951</v>
      </c>
      <c r="K372" s="16">
        <v>0.03</v>
      </c>
      <c r="L372" s="634" t="s">
        <v>647</v>
      </c>
      <c r="M372" s="625" t="s">
        <v>1658</v>
      </c>
      <c r="N372" s="642" t="str">
        <f t="shared" si="5"/>
        <v>愛知県豊橋市</v>
      </c>
      <c r="O372" s="622">
        <v>10.210000000000001</v>
      </c>
      <c r="P372" s="625">
        <v>10.17</v>
      </c>
      <c r="Q372" s="658">
        <v>10.14</v>
      </c>
      <c r="T372" s="1"/>
      <c r="U372" s="1"/>
      <c r="V372" s="1"/>
      <c r="W372" s="1"/>
      <c r="X372" s="1"/>
    </row>
    <row r="373" spans="5:24">
      <c r="E373" s="2"/>
      <c r="G373" s="7" t="s">
        <v>600</v>
      </c>
      <c r="H373" s="7" t="s">
        <v>1048</v>
      </c>
      <c r="J373" s="11" t="s">
        <v>951</v>
      </c>
      <c r="K373" s="16">
        <v>0.03</v>
      </c>
      <c r="L373" s="634" t="s">
        <v>647</v>
      </c>
      <c r="M373" s="625" t="s">
        <v>1662</v>
      </c>
      <c r="N373" s="642" t="str">
        <f t="shared" si="5"/>
        <v>愛知県半田市</v>
      </c>
      <c r="O373" s="622">
        <v>10.210000000000001</v>
      </c>
      <c r="P373" s="625">
        <v>10.17</v>
      </c>
      <c r="Q373" s="658">
        <v>10.14</v>
      </c>
      <c r="T373" s="1"/>
      <c r="U373" s="1"/>
      <c r="V373" s="1"/>
      <c r="W373" s="1"/>
      <c r="X373" s="1"/>
    </row>
    <row r="374" spans="5:24">
      <c r="E374" s="2"/>
      <c r="G374" s="7" t="s">
        <v>600</v>
      </c>
      <c r="H374" s="7" t="s">
        <v>1049</v>
      </c>
      <c r="J374" s="11" t="s">
        <v>951</v>
      </c>
      <c r="K374" s="16">
        <v>0.03</v>
      </c>
      <c r="L374" s="634" t="s">
        <v>647</v>
      </c>
      <c r="M374" s="625" t="s">
        <v>1664</v>
      </c>
      <c r="N374" s="642" t="str">
        <f t="shared" si="5"/>
        <v>愛知県豊川市</v>
      </c>
      <c r="O374" s="622">
        <v>10.210000000000001</v>
      </c>
      <c r="P374" s="625">
        <v>10.17</v>
      </c>
      <c r="Q374" s="658">
        <v>10.14</v>
      </c>
      <c r="T374" s="1"/>
      <c r="U374" s="1"/>
      <c r="V374" s="1"/>
      <c r="W374" s="1"/>
      <c r="X374" s="1"/>
    </row>
    <row r="375" spans="5:24">
      <c r="E375" s="2"/>
      <c r="G375" s="7" t="s">
        <v>600</v>
      </c>
      <c r="H375" s="7" t="s">
        <v>1050</v>
      </c>
      <c r="J375" s="11" t="s">
        <v>951</v>
      </c>
      <c r="K375" s="16">
        <v>0.03</v>
      </c>
      <c r="L375" s="634" t="s">
        <v>647</v>
      </c>
      <c r="M375" s="625" t="s">
        <v>1671</v>
      </c>
      <c r="N375" s="642" t="str">
        <f t="shared" si="5"/>
        <v>愛知県蒲郡市</v>
      </c>
      <c r="O375" s="622">
        <v>10.210000000000001</v>
      </c>
      <c r="P375" s="625">
        <v>10.17</v>
      </c>
      <c r="Q375" s="658">
        <v>10.14</v>
      </c>
      <c r="T375" s="1"/>
      <c r="U375" s="1"/>
      <c r="V375" s="1"/>
      <c r="W375" s="1"/>
      <c r="X375" s="1"/>
    </row>
    <row r="376" spans="5:24">
      <c r="E376" s="2"/>
      <c r="G376" s="7" t="s">
        <v>600</v>
      </c>
      <c r="H376" s="7" t="s">
        <v>1051</v>
      </c>
      <c r="J376" s="11" t="s">
        <v>951</v>
      </c>
      <c r="K376" s="16">
        <v>0.03</v>
      </c>
      <c r="L376" s="634" t="s">
        <v>647</v>
      </c>
      <c r="M376" s="625" t="s">
        <v>1673</v>
      </c>
      <c r="N376" s="642" t="str">
        <f t="shared" si="5"/>
        <v>愛知県常滑市</v>
      </c>
      <c r="O376" s="622">
        <v>10.210000000000001</v>
      </c>
      <c r="P376" s="625">
        <v>10.17</v>
      </c>
      <c r="Q376" s="658">
        <v>10.14</v>
      </c>
      <c r="T376" s="1"/>
      <c r="U376" s="1"/>
      <c r="V376" s="1"/>
      <c r="W376" s="1"/>
      <c r="X376" s="1"/>
    </row>
    <row r="377" spans="5:24">
      <c r="E377" s="2"/>
      <c r="G377" s="7" t="s">
        <v>600</v>
      </c>
      <c r="H377" s="7" t="s">
        <v>1052</v>
      </c>
      <c r="J377" s="11" t="s">
        <v>951</v>
      </c>
      <c r="K377" s="16">
        <v>0.03</v>
      </c>
      <c r="L377" s="634" t="s">
        <v>647</v>
      </c>
      <c r="M377" s="625" t="s">
        <v>1675</v>
      </c>
      <c r="N377" s="642" t="str">
        <f t="shared" si="5"/>
        <v>愛知県小牧市</v>
      </c>
      <c r="O377" s="622">
        <v>10.210000000000001</v>
      </c>
      <c r="P377" s="625">
        <v>10.17</v>
      </c>
      <c r="Q377" s="658">
        <v>10.14</v>
      </c>
      <c r="T377" s="1"/>
      <c r="U377" s="1"/>
      <c r="V377" s="1"/>
      <c r="W377" s="1"/>
      <c r="X377" s="1"/>
    </row>
    <row r="378" spans="5:24">
      <c r="E378" s="2"/>
      <c r="G378" s="7" t="s">
        <v>600</v>
      </c>
      <c r="H378" s="7" t="s">
        <v>1053</v>
      </c>
      <c r="J378" s="11" t="s">
        <v>951</v>
      </c>
      <c r="K378" s="16">
        <v>0.03</v>
      </c>
      <c r="L378" s="634" t="s">
        <v>647</v>
      </c>
      <c r="M378" s="625" t="s">
        <v>1677</v>
      </c>
      <c r="N378" s="642" t="str">
        <f t="shared" si="5"/>
        <v>愛知県新城市</v>
      </c>
      <c r="O378" s="622">
        <v>10.210000000000001</v>
      </c>
      <c r="P378" s="625">
        <v>10.17</v>
      </c>
      <c r="Q378" s="658">
        <v>10.14</v>
      </c>
      <c r="T378" s="1"/>
      <c r="U378" s="1"/>
      <c r="V378" s="1"/>
      <c r="W378" s="1"/>
      <c r="X378" s="1"/>
    </row>
    <row r="379" spans="5:24">
      <c r="E379" s="2"/>
      <c r="G379" s="7" t="s">
        <v>600</v>
      </c>
      <c r="H379" s="7" t="s">
        <v>1054</v>
      </c>
      <c r="J379" s="11" t="s">
        <v>951</v>
      </c>
      <c r="K379" s="16">
        <v>0.03</v>
      </c>
      <c r="L379" s="634" t="s">
        <v>647</v>
      </c>
      <c r="M379" s="625" t="s">
        <v>1678</v>
      </c>
      <c r="N379" s="642" t="str">
        <f t="shared" si="5"/>
        <v>愛知県東海市</v>
      </c>
      <c r="O379" s="622">
        <v>10.210000000000001</v>
      </c>
      <c r="P379" s="625">
        <v>10.17</v>
      </c>
      <c r="Q379" s="658">
        <v>10.14</v>
      </c>
      <c r="T379" s="1"/>
      <c r="U379" s="1"/>
      <c r="V379" s="1"/>
      <c r="W379" s="1"/>
      <c r="X379" s="1"/>
    </row>
    <row r="380" spans="5:24">
      <c r="E380" s="2"/>
      <c r="G380" s="7" t="s">
        <v>600</v>
      </c>
      <c r="H380" s="7" t="s">
        <v>1055</v>
      </c>
      <c r="J380" s="11" t="s">
        <v>951</v>
      </c>
      <c r="K380" s="16">
        <v>0.03</v>
      </c>
      <c r="L380" s="634" t="s">
        <v>647</v>
      </c>
      <c r="M380" s="625" t="s">
        <v>1679</v>
      </c>
      <c r="N380" s="642" t="str">
        <f t="shared" si="5"/>
        <v>愛知県大府市</v>
      </c>
      <c r="O380" s="622">
        <v>10.210000000000001</v>
      </c>
      <c r="P380" s="625">
        <v>10.17</v>
      </c>
      <c r="Q380" s="658">
        <v>10.14</v>
      </c>
      <c r="T380" s="1"/>
      <c r="U380" s="1"/>
      <c r="V380" s="1"/>
      <c r="W380" s="1"/>
      <c r="X380" s="1"/>
    </row>
    <row r="381" spans="5:24">
      <c r="E381" s="2"/>
      <c r="G381" s="7" t="s">
        <v>600</v>
      </c>
      <c r="H381" s="7" t="s">
        <v>1056</v>
      </c>
      <c r="J381" s="11" t="s">
        <v>951</v>
      </c>
      <c r="K381" s="16">
        <v>0.03</v>
      </c>
      <c r="L381" s="634" t="s">
        <v>647</v>
      </c>
      <c r="M381" s="625" t="s">
        <v>1680</v>
      </c>
      <c r="N381" s="642" t="str">
        <f t="shared" si="5"/>
        <v>愛知県知多市</v>
      </c>
      <c r="O381" s="622">
        <v>10.210000000000001</v>
      </c>
      <c r="P381" s="625">
        <v>10.17</v>
      </c>
      <c r="Q381" s="658">
        <v>10.14</v>
      </c>
      <c r="T381" s="1"/>
      <c r="U381" s="1"/>
      <c r="V381" s="1"/>
      <c r="W381" s="1"/>
      <c r="X381" s="1"/>
    </row>
    <row r="382" spans="5:24">
      <c r="E382" s="2"/>
      <c r="G382" s="7" t="s">
        <v>600</v>
      </c>
      <c r="H382" s="7" t="s">
        <v>1057</v>
      </c>
      <c r="J382" s="11" t="s">
        <v>951</v>
      </c>
      <c r="K382" s="16">
        <v>0.03</v>
      </c>
      <c r="L382" s="634" t="s">
        <v>647</v>
      </c>
      <c r="M382" s="625" t="s">
        <v>1683</v>
      </c>
      <c r="N382" s="642" t="str">
        <f t="shared" si="5"/>
        <v>愛知県高浜市</v>
      </c>
      <c r="O382" s="622">
        <v>10.210000000000001</v>
      </c>
      <c r="P382" s="625">
        <v>10.17</v>
      </c>
      <c r="Q382" s="658">
        <v>10.14</v>
      </c>
      <c r="T382" s="1"/>
      <c r="U382" s="1"/>
      <c r="V382" s="1"/>
      <c r="W382" s="1"/>
      <c r="X382" s="1"/>
    </row>
    <row r="383" spans="5:24">
      <c r="E383" s="2"/>
      <c r="G383" s="7" t="s">
        <v>600</v>
      </c>
      <c r="H383" s="7" t="s">
        <v>1058</v>
      </c>
      <c r="J383" s="11" t="s">
        <v>951</v>
      </c>
      <c r="K383" s="16">
        <v>0.03</v>
      </c>
      <c r="L383" s="634" t="s">
        <v>647</v>
      </c>
      <c r="M383" s="625" t="s">
        <v>1687</v>
      </c>
      <c r="N383" s="642" t="str">
        <f t="shared" si="5"/>
        <v>愛知県田原市</v>
      </c>
      <c r="O383" s="622">
        <v>10.210000000000001</v>
      </c>
      <c r="P383" s="625">
        <v>10.17</v>
      </c>
      <c r="Q383" s="658">
        <v>10.14</v>
      </c>
      <c r="T383" s="1"/>
      <c r="U383" s="1"/>
      <c r="V383" s="1"/>
      <c r="W383" s="1"/>
      <c r="X383" s="1"/>
    </row>
    <row r="384" spans="5:24">
      <c r="E384" s="2"/>
      <c r="G384" s="7" t="s">
        <v>600</v>
      </c>
      <c r="H384" s="7" t="s">
        <v>1059</v>
      </c>
      <c r="J384" s="11" t="s">
        <v>951</v>
      </c>
      <c r="K384" s="16">
        <v>0.03</v>
      </c>
      <c r="L384" s="634" t="s">
        <v>647</v>
      </c>
      <c r="M384" s="625" t="s">
        <v>1697</v>
      </c>
      <c r="N384" s="642" t="str">
        <f t="shared" si="5"/>
        <v>愛知県大口町</v>
      </c>
      <c r="O384" s="622">
        <v>10.210000000000001</v>
      </c>
      <c r="P384" s="625">
        <v>10.17</v>
      </c>
      <c r="Q384" s="658">
        <v>10.14</v>
      </c>
      <c r="T384" s="1"/>
      <c r="U384" s="1"/>
      <c r="V384" s="1"/>
      <c r="W384" s="1"/>
      <c r="X384" s="1"/>
    </row>
    <row r="385" spans="5:24">
      <c r="E385" s="2"/>
      <c r="G385" s="7" t="s">
        <v>600</v>
      </c>
      <c r="H385" s="7" t="s">
        <v>1060</v>
      </c>
      <c r="J385" s="11" t="s">
        <v>951</v>
      </c>
      <c r="K385" s="16">
        <v>0.03</v>
      </c>
      <c r="L385" s="634" t="s">
        <v>647</v>
      </c>
      <c r="M385" s="625" t="s">
        <v>1698</v>
      </c>
      <c r="N385" s="642" t="str">
        <f t="shared" si="5"/>
        <v>愛知県扶桑町</v>
      </c>
      <c r="O385" s="622">
        <v>10.210000000000001</v>
      </c>
      <c r="P385" s="625">
        <v>10.17</v>
      </c>
      <c r="Q385" s="658">
        <v>10.14</v>
      </c>
      <c r="T385" s="1"/>
      <c r="U385" s="1"/>
      <c r="V385" s="1"/>
      <c r="W385" s="1"/>
      <c r="X385" s="1"/>
    </row>
    <row r="386" spans="5:24">
      <c r="E386" s="2"/>
      <c r="G386" s="7" t="s">
        <v>600</v>
      </c>
      <c r="H386" s="7" t="s">
        <v>1061</v>
      </c>
      <c r="J386" s="11" t="s">
        <v>951</v>
      </c>
      <c r="K386" s="16">
        <v>0.03</v>
      </c>
      <c r="L386" s="634" t="s">
        <v>647</v>
      </c>
      <c r="M386" s="625" t="s">
        <v>1702</v>
      </c>
      <c r="N386" s="642" t="str">
        <f t="shared" si="5"/>
        <v>愛知県阿久比町</v>
      </c>
      <c r="O386" s="622">
        <v>10.210000000000001</v>
      </c>
      <c r="P386" s="625">
        <v>10.17</v>
      </c>
      <c r="Q386" s="658">
        <v>10.14</v>
      </c>
      <c r="T386" s="1"/>
      <c r="U386" s="1"/>
      <c r="V386" s="1"/>
      <c r="W386" s="1"/>
      <c r="X386" s="1"/>
    </row>
    <row r="387" spans="5:24">
      <c r="E387" s="2"/>
      <c r="G387" s="7" t="s">
        <v>600</v>
      </c>
      <c r="H387" s="7" t="s">
        <v>1017</v>
      </c>
      <c r="J387" s="11" t="s">
        <v>951</v>
      </c>
      <c r="K387" s="16">
        <v>0.03</v>
      </c>
      <c r="L387" s="634" t="s">
        <v>647</v>
      </c>
      <c r="M387" s="625" t="s">
        <v>1703</v>
      </c>
      <c r="N387" s="642" t="str">
        <f t="shared" si="5"/>
        <v>愛知県東浦町</v>
      </c>
      <c r="O387" s="622">
        <v>10.210000000000001</v>
      </c>
      <c r="P387" s="625">
        <v>10.17</v>
      </c>
      <c r="Q387" s="658">
        <v>10.14</v>
      </c>
      <c r="T387" s="1"/>
      <c r="U387" s="1"/>
      <c r="V387" s="1"/>
      <c r="W387" s="1"/>
      <c r="X387" s="1"/>
    </row>
    <row r="388" spans="5:24">
      <c r="E388" s="2"/>
      <c r="G388" s="7" t="s">
        <v>600</v>
      </c>
      <c r="H388" s="7" t="s">
        <v>1062</v>
      </c>
      <c r="J388" s="11" t="s">
        <v>951</v>
      </c>
      <c r="K388" s="16">
        <v>0.03</v>
      </c>
      <c r="L388" s="634" t="s">
        <v>647</v>
      </c>
      <c r="M388" s="625" t="s">
        <v>2455</v>
      </c>
      <c r="N388" s="642" t="str">
        <f t="shared" ref="N388:N451" si="6">L388&amp;M388</f>
        <v>愛知県武豊町</v>
      </c>
      <c r="O388" s="622">
        <v>10.210000000000001</v>
      </c>
      <c r="P388" s="625">
        <v>10.17</v>
      </c>
      <c r="Q388" s="658">
        <v>10.14</v>
      </c>
      <c r="T388" s="1"/>
      <c r="U388" s="1"/>
      <c r="V388" s="1"/>
      <c r="W388" s="1"/>
      <c r="X388" s="1"/>
    </row>
    <row r="389" spans="5:24">
      <c r="E389" s="2"/>
      <c r="G389" s="7" t="s">
        <v>600</v>
      </c>
      <c r="H389" s="7" t="s">
        <v>1063</v>
      </c>
      <c r="J389" s="11" t="s">
        <v>951</v>
      </c>
      <c r="K389" s="16">
        <v>0.03</v>
      </c>
      <c r="L389" s="634" t="s">
        <v>647</v>
      </c>
      <c r="M389" s="625" t="s">
        <v>1706</v>
      </c>
      <c r="N389" s="642" t="str">
        <f t="shared" si="6"/>
        <v>愛知県幸田町</v>
      </c>
      <c r="O389" s="622">
        <v>10.210000000000001</v>
      </c>
      <c r="P389" s="625">
        <v>10.17</v>
      </c>
      <c r="Q389" s="658">
        <v>10.14</v>
      </c>
      <c r="T389" s="1"/>
      <c r="U389" s="1"/>
      <c r="V389" s="1"/>
      <c r="W389" s="1"/>
      <c r="X389" s="1"/>
    </row>
    <row r="390" spans="5:24">
      <c r="E390" s="2"/>
      <c r="G390" s="7" t="s">
        <v>600</v>
      </c>
      <c r="H390" s="7" t="s">
        <v>1064</v>
      </c>
      <c r="J390" s="11" t="s">
        <v>951</v>
      </c>
      <c r="K390" s="16">
        <v>0.03</v>
      </c>
      <c r="L390" s="634" t="s">
        <v>647</v>
      </c>
      <c r="M390" s="625" t="s">
        <v>1707</v>
      </c>
      <c r="N390" s="642" t="str">
        <f t="shared" si="6"/>
        <v>愛知県設楽町</v>
      </c>
      <c r="O390" s="622">
        <v>10.210000000000001</v>
      </c>
      <c r="P390" s="625">
        <v>10.17</v>
      </c>
      <c r="Q390" s="658">
        <v>10.14</v>
      </c>
      <c r="T390" s="1"/>
      <c r="U390" s="1"/>
      <c r="V390" s="1"/>
      <c r="W390" s="1"/>
      <c r="X390" s="1"/>
    </row>
    <row r="391" spans="5:24">
      <c r="E391" s="2"/>
      <c r="G391" s="7" t="s">
        <v>600</v>
      </c>
      <c r="H391" s="7" t="s">
        <v>1065</v>
      </c>
      <c r="J391" s="11" t="s">
        <v>951</v>
      </c>
      <c r="K391" s="16">
        <v>0.03</v>
      </c>
      <c r="L391" s="634" t="s">
        <v>647</v>
      </c>
      <c r="M391" s="625" t="s">
        <v>1708</v>
      </c>
      <c r="N391" s="642" t="str">
        <f t="shared" si="6"/>
        <v>愛知県東栄町</v>
      </c>
      <c r="O391" s="622">
        <v>10.210000000000001</v>
      </c>
      <c r="P391" s="625">
        <v>10.17</v>
      </c>
      <c r="Q391" s="658">
        <v>10.14</v>
      </c>
      <c r="T391" s="1"/>
      <c r="U391" s="1"/>
      <c r="V391" s="1"/>
      <c r="W391" s="1"/>
      <c r="X391" s="1"/>
    </row>
    <row r="392" spans="5:24">
      <c r="E392" s="2"/>
      <c r="G392" s="7" t="s">
        <v>600</v>
      </c>
      <c r="H392" s="7" t="s">
        <v>1066</v>
      </c>
      <c r="J392" s="11" t="s">
        <v>951</v>
      </c>
      <c r="K392" s="16">
        <v>0.03</v>
      </c>
      <c r="L392" s="634" t="s">
        <v>647</v>
      </c>
      <c r="M392" s="625" t="s">
        <v>1709</v>
      </c>
      <c r="N392" s="642" t="str">
        <f t="shared" si="6"/>
        <v>愛知県豊根村</v>
      </c>
      <c r="O392" s="622">
        <v>10.210000000000001</v>
      </c>
      <c r="P392" s="625">
        <v>10.17</v>
      </c>
      <c r="Q392" s="658">
        <v>10.14</v>
      </c>
      <c r="T392" s="1"/>
      <c r="U392" s="1"/>
      <c r="V392" s="1"/>
      <c r="W392" s="1"/>
      <c r="X392" s="1"/>
    </row>
    <row r="393" spans="5:24">
      <c r="E393" s="2"/>
      <c r="G393" s="7" t="s">
        <v>600</v>
      </c>
      <c r="H393" s="7" t="s">
        <v>1067</v>
      </c>
      <c r="J393" s="11" t="s">
        <v>951</v>
      </c>
      <c r="K393" s="16">
        <v>0.03</v>
      </c>
      <c r="L393" s="634" t="s">
        <v>650</v>
      </c>
      <c r="M393" s="625" t="s">
        <v>1716</v>
      </c>
      <c r="N393" s="642" t="str">
        <f t="shared" si="6"/>
        <v>三重県名張市</v>
      </c>
      <c r="O393" s="622">
        <v>10.210000000000001</v>
      </c>
      <c r="P393" s="625">
        <v>10.17</v>
      </c>
      <c r="Q393" s="658">
        <v>10.14</v>
      </c>
      <c r="T393" s="1"/>
      <c r="U393" s="1"/>
      <c r="V393" s="1"/>
      <c r="W393" s="1"/>
      <c r="X393" s="1"/>
    </row>
    <row r="394" spans="5:24">
      <c r="E394" s="2"/>
      <c r="G394" s="7" t="s">
        <v>600</v>
      </c>
      <c r="H394" s="7" t="s">
        <v>1068</v>
      </c>
      <c r="J394" s="11" t="s">
        <v>951</v>
      </c>
      <c r="K394" s="16">
        <v>0.03</v>
      </c>
      <c r="L394" s="634" t="s">
        <v>650</v>
      </c>
      <c r="M394" s="625" t="s">
        <v>1721</v>
      </c>
      <c r="N394" s="642" t="str">
        <f t="shared" si="6"/>
        <v>三重県いなべ市</v>
      </c>
      <c r="O394" s="622">
        <v>10.210000000000001</v>
      </c>
      <c r="P394" s="625">
        <v>10.17</v>
      </c>
      <c r="Q394" s="658">
        <v>10.14</v>
      </c>
      <c r="T394" s="1"/>
      <c r="U394" s="1"/>
      <c r="V394" s="1"/>
      <c r="W394" s="1"/>
      <c r="X394" s="1"/>
    </row>
    <row r="395" spans="5:24">
      <c r="E395" s="2"/>
      <c r="G395" s="7" t="s">
        <v>600</v>
      </c>
      <c r="H395" s="7" t="s">
        <v>1069</v>
      </c>
      <c r="J395" s="11" t="s">
        <v>951</v>
      </c>
      <c r="K395" s="16">
        <v>0.03</v>
      </c>
      <c r="L395" s="634" t="s">
        <v>650</v>
      </c>
      <c r="M395" s="625" t="s">
        <v>1723</v>
      </c>
      <c r="N395" s="642" t="str">
        <f t="shared" si="6"/>
        <v>三重県伊賀市</v>
      </c>
      <c r="O395" s="622">
        <v>10.210000000000001</v>
      </c>
      <c r="P395" s="625">
        <v>10.17</v>
      </c>
      <c r="Q395" s="658">
        <v>10.14</v>
      </c>
      <c r="T395" s="1"/>
      <c r="U395" s="1"/>
      <c r="V395" s="1"/>
      <c r="W395" s="1"/>
      <c r="X395" s="1"/>
    </row>
    <row r="396" spans="5:24">
      <c r="E396" s="2"/>
      <c r="G396" s="7" t="s">
        <v>600</v>
      </c>
      <c r="H396" s="7" t="s">
        <v>1070</v>
      </c>
      <c r="J396" s="11" t="s">
        <v>951</v>
      </c>
      <c r="K396" s="16">
        <v>0.03</v>
      </c>
      <c r="L396" s="634" t="s">
        <v>650</v>
      </c>
      <c r="M396" s="625" t="s">
        <v>1724</v>
      </c>
      <c r="N396" s="642" t="str">
        <f t="shared" si="6"/>
        <v>三重県木曽岬町</v>
      </c>
      <c r="O396" s="622">
        <v>10.210000000000001</v>
      </c>
      <c r="P396" s="625">
        <v>10.17</v>
      </c>
      <c r="Q396" s="658">
        <v>10.14</v>
      </c>
      <c r="T396" s="1"/>
      <c r="U396" s="1"/>
      <c r="V396" s="1"/>
      <c r="W396" s="1"/>
      <c r="X396" s="1"/>
    </row>
    <row r="397" spans="5:24">
      <c r="E397" s="2"/>
      <c r="G397" s="7" t="s">
        <v>600</v>
      </c>
      <c r="H397" s="7" t="s">
        <v>1071</v>
      </c>
      <c r="J397" s="11" t="s">
        <v>951</v>
      </c>
      <c r="K397" s="16">
        <v>0.03</v>
      </c>
      <c r="L397" s="634" t="s">
        <v>650</v>
      </c>
      <c r="M397" s="625" t="s">
        <v>1725</v>
      </c>
      <c r="N397" s="642" t="str">
        <f t="shared" si="6"/>
        <v>三重県東員町</v>
      </c>
      <c r="O397" s="622">
        <v>10.210000000000001</v>
      </c>
      <c r="P397" s="625">
        <v>10.17</v>
      </c>
      <c r="Q397" s="658">
        <v>10.14</v>
      </c>
      <c r="T397" s="1"/>
      <c r="U397" s="1"/>
      <c r="V397" s="1"/>
      <c r="W397" s="1"/>
      <c r="X397" s="1"/>
    </row>
    <row r="398" spans="5:24">
      <c r="E398" s="2"/>
      <c r="G398" s="7" t="s">
        <v>600</v>
      </c>
      <c r="H398" s="7" t="s">
        <v>1072</v>
      </c>
      <c r="J398" s="11" t="s">
        <v>951</v>
      </c>
      <c r="K398" s="16">
        <v>0.03</v>
      </c>
      <c r="L398" s="634" t="s">
        <v>650</v>
      </c>
      <c r="M398" s="625" t="s">
        <v>1726</v>
      </c>
      <c r="N398" s="642" t="str">
        <f t="shared" si="6"/>
        <v>三重県菰野町</v>
      </c>
      <c r="O398" s="622">
        <v>10.210000000000001</v>
      </c>
      <c r="P398" s="625">
        <v>10.17</v>
      </c>
      <c r="Q398" s="658">
        <v>10.14</v>
      </c>
      <c r="T398" s="1"/>
      <c r="U398" s="1"/>
      <c r="V398" s="1"/>
      <c r="W398" s="1"/>
      <c r="X398" s="1"/>
    </row>
    <row r="399" spans="5:24">
      <c r="E399" s="2"/>
      <c r="G399" s="7" t="s">
        <v>600</v>
      </c>
      <c r="H399" s="7" t="s">
        <v>1073</v>
      </c>
      <c r="J399" s="11" t="s">
        <v>951</v>
      </c>
      <c r="K399" s="16">
        <v>0.03</v>
      </c>
      <c r="L399" s="634" t="s">
        <v>650</v>
      </c>
      <c r="M399" s="625" t="s">
        <v>2531</v>
      </c>
      <c r="N399" s="642" t="str">
        <f t="shared" si="6"/>
        <v>三重県朝日町</v>
      </c>
      <c r="O399" s="622">
        <v>10.210000000000001</v>
      </c>
      <c r="P399" s="625">
        <v>10.17</v>
      </c>
      <c r="Q399" s="658">
        <v>10.14</v>
      </c>
      <c r="T399" s="1"/>
      <c r="U399" s="1"/>
      <c r="V399" s="1"/>
      <c r="W399" s="1"/>
      <c r="X399" s="1"/>
    </row>
    <row r="400" spans="5:24">
      <c r="E400" s="2"/>
      <c r="G400" s="7" t="s">
        <v>600</v>
      </c>
      <c r="H400" s="7" t="s">
        <v>1074</v>
      </c>
      <c r="J400" s="11" t="s">
        <v>951</v>
      </c>
      <c r="K400" s="16">
        <v>0.03</v>
      </c>
      <c r="L400" s="634" t="s">
        <v>650</v>
      </c>
      <c r="M400" s="625" t="s">
        <v>1727</v>
      </c>
      <c r="N400" s="642" t="str">
        <f t="shared" si="6"/>
        <v>三重県川越町</v>
      </c>
      <c r="O400" s="622">
        <v>10.210000000000001</v>
      </c>
      <c r="P400" s="625">
        <v>10.17</v>
      </c>
      <c r="Q400" s="658">
        <v>10.14</v>
      </c>
      <c r="T400" s="1"/>
      <c r="U400" s="1"/>
      <c r="V400" s="1"/>
      <c r="W400" s="1"/>
      <c r="X400" s="1"/>
    </row>
    <row r="401" spans="5:24">
      <c r="E401" s="2"/>
      <c r="G401" s="7" t="s">
        <v>600</v>
      </c>
      <c r="H401" s="7" t="s">
        <v>1075</v>
      </c>
      <c r="J401" s="11" t="s">
        <v>951</v>
      </c>
      <c r="K401" s="16">
        <v>0.03</v>
      </c>
      <c r="L401" s="634" t="s">
        <v>654</v>
      </c>
      <c r="M401" s="625" t="s">
        <v>1739</v>
      </c>
      <c r="N401" s="642" t="str">
        <f t="shared" si="6"/>
        <v>滋賀県長浜市</v>
      </c>
      <c r="O401" s="622">
        <v>10.210000000000001</v>
      </c>
      <c r="P401" s="625">
        <v>10.17</v>
      </c>
      <c r="Q401" s="658">
        <v>10.14</v>
      </c>
      <c r="T401" s="1"/>
      <c r="U401" s="1"/>
      <c r="V401" s="1"/>
      <c r="W401" s="1"/>
      <c r="X401" s="1"/>
    </row>
    <row r="402" spans="5:24">
      <c r="E402" s="2"/>
      <c r="G402" s="7" t="s">
        <v>600</v>
      </c>
      <c r="H402" s="7" t="s">
        <v>1076</v>
      </c>
      <c r="J402" s="11" t="s">
        <v>951</v>
      </c>
      <c r="K402" s="16">
        <v>0.03</v>
      </c>
      <c r="L402" s="634" t="s">
        <v>654</v>
      </c>
      <c r="M402" s="625" t="s">
        <v>2456</v>
      </c>
      <c r="N402" s="642" t="str">
        <f t="shared" si="6"/>
        <v>滋賀県近江八幡市</v>
      </c>
      <c r="O402" s="622">
        <v>10.210000000000001</v>
      </c>
      <c r="P402" s="625">
        <v>10.17</v>
      </c>
      <c r="Q402" s="658">
        <v>10.14</v>
      </c>
      <c r="T402" s="1"/>
      <c r="U402" s="1"/>
      <c r="V402" s="1"/>
      <c r="W402" s="1"/>
      <c r="X402" s="1"/>
    </row>
    <row r="403" spans="5:24">
      <c r="E403" s="2"/>
      <c r="G403" s="7" t="s">
        <v>600</v>
      </c>
      <c r="H403" s="7" t="s">
        <v>1077</v>
      </c>
      <c r="J403" s="11" t="s">
        <v>951</v>
      </c>
      <c r="K403" s="16">
        <v>0.03</v>
      </c>
      <c r="L403" s="634" t="s">
        <v>654</v>
      </c>
      <c r="M403" s="625" t="s">
        <v>1745</v>
      </c>
      <c r="N403" s="642" t="str">
        <f t="shared" si="6"/>
        <v>滋賀県野洲市</v>
      </c>
      <c r="O403" s="622">
        <v>10.210000000000001</v>
      </c>
      <c r="P403" s="625">
        <v>10.17</v>
      </c>
      <c r="Q403" s="658">
        <v>10.14</v>
      </c>
      <c r="T403" s="1"/>
      <c r="U403" s="1"/>
      <c r="V403" s="1"/>
      <c r="W403" s="1"/>
      <c r="X403" s="1"/>
    </row>
    <row r="404" spans="5:24">
      <c r="E404" s="2"/>
      <c r="G404" s="7" t="s">
        <v>600</v>
      </c>
      <c r="H404" s="7" t="s">
        <v>1078</v>
      </c>
      <c r="J404" s="11" t="s">
        <v>951</v>
      </c>
      <c r="K404" s="16">
        <v>0.03</v>
      </c>
      <c r="L404" s="634" t="s">
        <v>654</v>
      </c>
      <c r="M404" s="625" t="s">
        <v>1746</v>
      </c>
      <c r="N404" s="642" t="str">
        <f t="shared" si="6"/>
        <v>滋賀県湖南市</v>
      </c>
      <c r="O404" s="622">
        <v>10.210000000000001</v>
      </c>
      <c r="P404" s="625">
        <v>10.17</v>
      </c>
      <c r="Q404" s="658">
        <v>10.14</v>
      </c>
      <c r="T404" s="1"/>
      <c r="U404" s="1"/>
      <c r="V404" s="1"/>
      <c r="W404" s="1"/>
      <c r="X404" s="1"/>
    </row>
    <row r="405" spans="5:24">
      <c r="E405" s="2"/>
      <c r="G405" s="7" t="s">
        <v>600</v>
      </c>
      <c r="H405" s="7" t="s">
        <v>1079</v>
      </c>
      <c r="J405" s="11" t="s">
        <v>951</v>
      </c>
      <c r="K405" s="16">
        <v>0.03</v>
      </c>
      <c r="L405" s="634" t="s">
        <v>654</v>
      </c>
      <c r="M405" s="625" t="s">
        <v>2457</v>
      </c>
      <c r="N405" s="642" t="str">
        <f t="shared" si="6"/>
        <v>滋賀県高島市</v>
      </c>
      <c r="O405" s="622">
        <v>10.210000000000001</v>
      </c>
      <c r="P405" s="625">
        <v>10.17</v>
      </c>
      <c r="Q405" s="658">
        <v>10.14</v>
      </c>
      <c r="T405" s="1"/>
      <c r="U405" s="1"/>
      <c r="V405" s="1"/>
      <c r="W405" s="1"/>
      <c r="X405" s="1"/>
    </row>
    <row r="406" spans="5:24">
      <c r="E406" s="2"/>
      <c r="G406" s="7" t="s">
        <v>600</v>
      </c>
      <c r="H406" s="7" t="s">
        <v>1080</v>
      </c>
      <c r="J406" s="11" t="s">
        <v>951</v>
      </c>
      <c r="K406" s="16">
        <v>0.03</v>
      </c>
      <c r="L406" s="634" t="s">
        <v>654</v>
      </c>
      <c r="M406" s="625" t="s">
        <v>1748</v>
      </c>
      <c r="N406" s="642" t="str">
        <f t="shared" si="6"/>
        <v>滋賀県東近江市</v>
      </c>
      <c r="O406" s="622">
        <v>10.210000000000001</v>
      </c>
      <c r="P406" s="625">
        <v>10.17</v>
      </c>
      <c r="Q406" s="658">
        <v>10.14</v>
      </c>
      <c r="T406" s="1"/>
      <c r="U406" s="1"/>
      <c r="V406" s="1"/>
      <c r="W406" s="1"/>
      <c r="X406" s="1"/>
    </row>
    <row r="407" spans="5:24">
      <c r="E407" s="2"/>
      <c r="G407" s="7" t="s">
        <v>600</v>
      </c>
      <c r="H407" s="7" t="s">
        <v>1081</v>
      </c>
      <c r="J407" s="11" t="s">
        <v>951</v>
      </c>
      <c r="K407" s="16">
        <v>0.03</v>
      </c>
      <c r="L407" s="634" t="s">
        <v>654</v>
      </c>
      <c r="M407" s="625" t="s">
        <v>2532</v>
      </c>
      <c r="N407" s="642" t="str">
        <f t="shared" si="6"/>
        <v>滋賀県日野町</v>
      </c>
      <c r="O407" s="622">
        <v>10.210000000000001</v>
      </c>
      <c r="P407" s="625">
        <v>10.17</v>
      </c>
      <c r="Q407" s="658">
        <v>10.14</v>
      </c>
      <c r="T407" s="1"/>
      <c r="U407" s="1"/>
      <c r="V407" s="1"/>
      <c r="W407" s="1"/>
      <c r="X407" s="1"/>
    </row>
    <row r="408" spans="5:24">
      <c r="E408" s="2"/>
      <c r="G408" s="7" t="s">
        <v>600</v>
      </c>
      <c r="H408" s="7" t="s">
        <v>1082</v>
      </c>
      <c r="J408" s="11" t="s">
        <v>951</v>
      </c>
      <c r="K408" s="16">
        <v>0.03</v>
      </c>
      <c r="L408" s="634" t="s">
        <v>654</v>
      </c>
      <c r="M408" s="625" t="s">
        <v>2458</v>
      </c>
      <c r="N408" s="642" t="str">
        <f t="shared" si="6"/>
        <v>滋賀県竜王町</v>
      </c>
      <c r="O408" s="622">
        <v>10.210000000000001</v>
      </c>
      <c r="P408" s="625">
        <v>10.17</v>
      </c>
      <c r="Q408" s="658">
        <v>10.14</v>
      </c>
      <c r="T408" s="1"/>
      <c r="U408" s="1"/>
      <c r="V408" s="1"/>
      <c r="W408" s="1"/>
      <c r="X408" s="1"/>
    </row>
    <row r="409" spans="5:24">
      <c r="E409" s="2"/>
      <c r="G409" s="7" t="s">
        <v>600</v>
      </c>
      <c r="H409" s="7" t="s">
        <v>1083</v>
      </c>
      <c r="J409" s="11" t="s">
        <v>951</v>
      </c>
      <c r="K409" s="16">
        <v>0.03</v>
      </c>
      <c r="L409" s="634" t="s">
        <v>657</v>
      </c>
      <c r="M409" s="625" t="s">
        <v>1772</v>
      </c>
      <c r="N409" s="642" t="str">
        <f t="shared" si="6"/>
        <v>京都府久御山町</v>
      </c>
      <c r="O409" s="622">
        <v>10.210000000000001</v>
      </c>
      <c r="P409" s="625">
        <v>10.17</v>
      </c>
      <c r="Q409" s="658">
        <v>10.14</v>
      </c>
      <c r="T409" s="1"/>
      <c r="U409" s="1"/>
      <c r="V409" s="1"/>
      <c r="W409" s="1"/>
      <c r="X409" s="1"/>
    </row>
    <row r="410" spans="5:24">
      <c r="E410" s="2"/>
      <c r="G410" s="7" t="s">
        <v>600</v>
      </c>
      <c r="H410" s="7" t="s">
        <v>1084</v>
      </c>
      <c r="J410" s="11" t="s">
        <v>951</v>
      </c>
      <c r="K410" s="16">
        <v>0.03</v>
      </c>
      <c r="L410" s="634" t="s">
        <v>665</v>
      </c>
      <c r="M410" s="625" t="s">
        <v>1826</v>
      </c>
      <c r="N410" s="642" t="str">
        <f t="shared" si="6"/>
        <v>兵庫県姫路市</v>
      </c>
      <c r="O410" s="622">
        <v>10.210000000000001</v>
      </c>
      <c r="P410" s="625">
        <v>10.17</v>
      </c>
      <c r="Q410" s="658">
        <v>10.14</v>
      </c>
      <c r="T410" s="1"/>
      <c r="U410" s="1"/>
      <c r="V410" s="1"/>
      <c r="W410" s="1"/>
      <c r="X410" s="1"/>
    </row>
    <row r="411" spans="5:24">
      <c r="E411" s="2"/>
      <c r="G411" s="7" t="s">
        <v>600</v>
      </c>
      <c r="H411" s="7" t="s">
        <v>1085</v>
      </c>
      <c r="J411" s="11" t="s">
        <v>951</v>
      </c>
      <c r="K411" s="16">
        <v>0.03</v>
      </c>
      <c r="L411" s="634" t="s">
        <v>665</v>
      </c>
      <c r="M411" s="625" t="s">
        <v>1835</v>
      </c>
      <c r="N411" s="642" t="str">
        <f t="shared" si="6"/>
        <v>兵庫県加古川市</v>
      </c>
      <c r="O411" s="622">
        <v>10.210000000000001</v>
      </c>
      <c r="P411" s="625">
        <v>10.17</v>
      </c>
      <c r="Q411" s="658">
        <v>10.14</v>
      </c>
      <c r="T411" s="1"/>
      <c r="U411" s="1"/>
      <c r="V411" s="1"/>
      <c r="W411" s="1"/>
      <c r="X411" s="1"/>
    </row>
    <row r="412" spans="5:24">
      <c r="E412" s="2"/>
      <c r="G412" s="7" t="s">
        <v>600</v>
      </c>
      <c r="H412" s="7" t="s">
        <v>1086</v>
      </c>
      <c r="J412" s="11" t="s">
        <v>951</v>
      </c>
      <c r="K412" s="16">
        <v>0.03</v>
      </c>
      <c r="L412" s="634" t="s">
        <v>665</v>
      </c>
      <c r="M412" s="625" t="s">
        <v>1839</v>
      </c>
      <c r="N412" s="642" t="str">
        <f t="shared" si="6"/>
        <v>兵庫県三木市</v>
      </c>
      <c r="O412" s="622">
        <v>10.210000000000001</v>
      </c>
      <c r="P412" s="625">
        <v>10.17</v>
      </c>
      <c r="Q412" s="658">
        <v>10.14</v>
      </c>
      <c r="T412" s="1"/>
      <c r="U412" s="1"/>
      <c r="V412" s="1"/>
      <c r="W412" s="1"/>
      <c r="X412" s="1"/>
    </row>
    <row r="413" spans="5:24">
      <c r="E413" s="2"/>
      <c r="G413" s="7" t="s">
        <v>600</v>
      </c>
      <c r="H413" s="7" t="s">
        <v>1087</v>
      </c>
      <c r="J413" s="11" t="s">
        <v>951</v>
      </c>
      <c r="K413" s="16">
        <v>0.03</v>
      </c>
      <c r="L413" s="634" t="s">
        <v>665</v>
      </c>
      <c r="M413" s="625" t="s">
        <v>1840</v>
      </c>
      <c r="N413" s="642" t="str">
        <f t="shared" si="6"/>
        <v>兵庫県高砂市</v>
      </c>
      <c r="O413" s="622">
        <v>10.210000000000001</v>
      </c>
      <c r="P413" s="625">
        <v>10.17</v>
      </c>
      <c r="Q413" s="658">
        <v>10.14</v>
      </c>
      <c r="T413" s="1"/>
      <c r="U413" s="1"/>
      <c r="V413" s="1"/>
      <c r="W413" s="1"/>
      <c r="X413" s="1"/>
    </row>
    <row r="414" spans="5:24">
      <c r="E414" s="2"/>
      <c r="G414" s="7" t="s">
        <v>600</v>
      </c>
      <c r="H414" s="7" t="s">
        <v>1088</v>
      </c>
      <c r="J414" s="11" t="s">
        <v>951</v>
      </c>
      <c r="K414" s="16">
        <v>0.03</v>
      </c>
      <c r="L414" s="634" t="s">
        <v>665</v>
      </c>
      <c r="M414" s="625" t="s">
        <v>1856</v>
      </c>
      <c r="N414" s="642" t="str">
        <f t="shared" si="6"/>
        <v>兵庫県稲美町</v>
      </c>
      <c r="O414" s="622">
        <v>10.210000000000001</v>
      </c>
      <c r="P414" s="625">
        <v>10.17</v>
      </c>
      <c r="Q414" s="658">
        <v>10.14</v>
      </c>
      <c r="T414" s="1"/>
      <c r="U414" s="1"/>
      <c r="V414" s="1"/>
      <c r="W414" s="1"/>
      <c r="X414" s="1"/>
    </row>
    <row r="415" spans="5:24">
      <c r="E415" s="2"/>
      <c r="G415" s="7" t="s">
        <v>603</v>
      </c>
      <c r="H415" s="7" t="s">
        <v>1089</v>
      </c>
      <c r="J415" s="11" t="s">
        <v>951</v>
      </c>
      <c r="K415" s="16">
        <v>0.03</v>
      </c>
      <c r="L415" s="634" t="s">
        <v>665</v>
      </c>
      <c r="M415" s="625" t="s">
        <v>1857</v>
      </c>
      <c r="N415" s="642" t="str">
        <f t="shared" si="6"/>
        <v>兵庫県播磨町</v>
      </c>
      <c r="O415" s="622">
        <v>10.210000000000001</v>
      </c>
      <c r="P415" s="625">
        <v>10.17</v>
      </c>
      <c r="Q415" s="658">
        <v>10.14</v>
      </c>
      <c r="T415" s="1"/>
      <c r="U415" s="1"/>
      <c r="V415" s="1"/>
      <c r="W415" s="1"/>
      <c r="X415" s="1"/>
    </row>
    <row r="416" spans="5:24">
      <c r="E416" s="2"/>
      <c r="G416" s="7" t="s">
        <v>603</v>
      </c>
      <c r="H416" s="7" t="s">
        <v>1090</v>
      </c>
      <c r="J416" s="11" t="s">
        <v>951</v>
      </c>
      <c r="K416" s="16">
        <v>0.03</v>
      </c>
      <c r="L416" s="634" t="s">
        <v>668</v>
      </c>
      <c r="M416" s="625" t="s">
        <v>1866</v>
      </c>
      <c r="N416" s="642" t="str">
        <f t="shared" si="6"/>
        <v>奈良県大和高田市</v>
      </c>
      <c r="O416" s="622">
        <v>10.210000000000001</v>
      </c>
      <c r="P416" s="625">
        <v>10.17</v>
      </c>
      <c r="Q416" s="658">
        <v>10.14</v>
      </c>
      <c r="T416" s="1"/>
      <c r="U416" s="1"/>
      <c r="V416" s="1"/>
      <c r="W416" s="1"/>
      <c r="X416" s="1"/>
    </row>
    <row r="417" spans="5:24">
      <c r="E417" s="2"/>
      <c r="G417" s="7" t="s">
        <v>603</v>
      </c>
      <c r="H417" s="7" t="s">
        <v>1091</v>
      </c>
      <c r="J417" s="11" t="s">
        <v>951</v>
      </c>
      <c r="K417" s="16">
        <v>0.03</v>
      </c>
      <c r="L417" s="634" t="s">
        <v>668</v>
      </c>
      <c r="M417" s="625" t="s">
        <v>1868</v>
      </c>
      <c r="N417" s="642" t="str">
        <f t="shared" si="6"/>
        <v>奈良県天理市</v>
      </c>
      <c r="O417" s="622">
        <v>10.210000000000001</v>
      </c>
      <c r="P417" s="625">
        <v>10.17</v>
      </c>
      <c r="Q417" s="658">
        <v>10.14</v>
      </c>
      <c r="T417" s="1"/>
      <c r="U417" s="1"/>
      <c r="V417" s="1"/>
      <c r="W417" s="1"/>
      <c r="X417" s="1"/>
    </row>
    <row r="418" spans="5:24">
      <c r="E418" s="2"/>
      <c r="G418" s="7" t="s">
        <v>603</v>
      </c>
      <c r="H418" s="7" t="s">
        <v>1092</v>
      </c>
      <c r="J418" s="11" t="s">
        <v>951</v>
      </c>
      <c r="K418" s="16">
        <v>0.03</v>
      </c>
      <c r="L418" s="634" t="s">
        <v>668</v>
      </c>
      <c r="M418" s="625" t="s">
        <v>1869</v>
      </c>
      <c r="N418" s="642" t="str">
        <f t="shared" si="6"/>
        <v>奈良県橿原市</v>
      </c>
      <c r="O418" s="622">
        <v>10.210000000000001</v>
      </c>
      <c r="P418" s="625">
        <v>10.17</v>
      </c>
      <c r="Q418" s="658">
        <v>10.14</v>
      </c>
      <c r="T418" s="1"/>
      <c r="U418" s="1"/>
      <c r="V418" s="1"/>
      <c r="W418" s="1"/>
      <c r="X418" s="1"/>
    </row>
    <row r="419" spans="5:24">
      <c r="E419" s="2"/>
      <c r="G419" s="7" t="s">
        <v>603</v>
      </c>
      <c r="H419" s="7" t="s">
        <v>1093</v>
      </c>
      <c r="J419" s="11" t="s">
        <v>951</v>
      </c>
      <c r="K419" s="16">
        <v>0.03</v>
      </c>
      <c r="L419" s="634" t="s">
        <v>668</v>
      </c>
      <c r="M419" s="625" t="s">
        <v>1870</v>
      </c>
      <c r="N419" s="642" t="str">
        <f t="shared" si="6"/>
        <v>奈良県桜井市</v>
      </c>
      <c r="O419" s="622">
        <v>10.210000000000001</v>
      </c>
      <c r="P419" s="625">
        <v>10.17</v>
      </c>
      <c r="Q419" s="658">
        <v>10.14</v>
      </c>
      <c r="T419" s="1"/>
      <c r="U419" s="1"/>
      <c r="V419" s="1"/>
      <c r="W419" s="1"/>
      <c r="X419" s="1"/>
    </row>
    <row r="420" spans="5:24">
      <c r="E420" s="2"/>
      <c r="G420" s="7" t="s">
        <v>603</v>
      </c>
      <c r="H420" s="7" t="s">
        <v>1094</v>
      </c>
      <c r="J420" s="11" t="s">
        <v>951</v>
      </c>
      <c r="K420" s="16">
        <v>0.03</v>
      </c>
      <c r="L420" s="634" t="s">
        <v>668</v>
      </c>
      <c r="M420" s="625" t="s">
        <v>1872</v>
      </c>
      <c r="N420" s="642" t="str">
        <f t="shared" si="6"/>
        <v>奈良県御所市</v>
      </c>
      <c r="O420" s="622">
        <v>10.210000000000001</v>
      </c>
      <c r="P420" s="625">
        <v>10.17</v>
      </c>
      <c r="Q420" s="658">
        <v>10.14</v>
      </c>
      <c r="T420" s="1"/>
      <c r="U420" s="1"/>
      <c r="V420" s="1"/>
      <c r="W420" s="1"/>
      <c r="X420" s="1"/>
    </row>
    <row r="421" spans="5:24">
      <c r="E421" s="2"/>
      <c r="G421" s="7" t="s">
        <v>603</v>
      </c>
      <c r="H421" s="7" t="s">
        <v>1095</v>
      </c>
      <c r="J421" s="11" t="s">
        <v>951</v>
      </c>
      <c r="K421" s="16">
        <v>0.03</v>
      </c>
      <c r="L421" s="634" t="s">
        <v>668</v>
      </c>
      <c r="M421" s="625" t="s">
        <v>1874</v>
      </c>
      <c r="N421" s="642" t="str">
        <f t="shared" si="6"/>
        <v>奈良県香芝市</v>
      </c>
      <c r="O421" s="622">
        <v>10.210000000000001</v>
      </c>
      <c r="P421" s="625">
        <v>10.17</v>
      </c>
      <c r="Q421" s="658">
        <v>10.14</v>
      </c>
      <c r="T421" s="1"/>
      <c r="U421" s="1"/>
      <c r="V421" s="1"/>
      <c r="W421" s="1"/>
      <c r="X421" s="1"/>
    </row>
    <row r="422" spans="5:24">
      <c r="E422" s="2"/>
      <c r="G422" s="7" t="s">
        <v>603</v>
      </c>
      <c r="H422" s="7" t="s">
        <v>1096</v>
      </c>
      <c r="J422" s="11" t="s">
        <v>951</v>
      </c>
      <c r="K422" s="16">
        <v>0.03</v>
      </c>
      <c r="L422" s="634" t="s">
        <v>668</v>
      </c>
      <c r="M422" s="625" t="s">
        <v>1875</v>
      </c>
      <c r="N422" s="642" t="str">
        <f t="shared" si="6"/>
        <v>奈良県葛城市</v>
      </c>
      <c r="O422" s="622">
        <v>10.210000000000001</v>
      </c>
      <c r="P422" s="625">
        <v>10.17</v>
      </c>
      <c r="Q422" s="658">
        <v>10.14</v>
      </c>
      <c r="T422" s="1"/>
      <c r="U422" s="1"/>
      <c r="V422" s="1"/>
      <c r="W422" s="1"/>
      <c r="X422" s="1"/>
    </row>
    <row r="423" spans="5:24">
      <c r="E423" s="2"/>
      <c r="G423" s="7" t="s">
        <v>603</v>
      </c>
      <c r="H423" s="7" t="s">
        <v>1097</v>
      </c>
      <c r="J423" s="11" t="s">
        <v>951</v>
      </c>
      <c r="K423" s="16">
        <v>0.03</v>
      </c>
      <c r="L423" s="634" t="s">
        <v>668</v>
      </c>
      <c r="M423" s="625" t="s">
        <v>1876</v>
      </c>
      <c r="N423" s="642" t="str">
        <f t="shared" si="6"/>
        <v>奈良県宇陀市</v>
      </c>
      <c r="O423" s="622">
        <v>10.210000000000001</v>
      </c>
      <c r="P423" s="625">
        <v>10.17</v>
      </c>
      <c r="Q423" s="658">
        <v>10.14</v>
      </c>
      <c r="T423" s="1"/>
      <c r="U423" s="1"/>
      <c r="V423" s="1"/>
      <c r="W423" s="1"/>
      <c r="X423" s="1"/>
    </row>
    <row r="424" spans="5:24">
      <c r="E424" s="2"/>
      <c r="G424" s="7" t="s">
        <v>603</v>
      </c>
      <c r="H424" s="7" t="s">
        <v>1098</v>
      </c>
      <c r="J424" s="11" t="s">
        <v>951</v>
      </c>
      <c r="K424" s="16">
        <v>0.03</v>
      </c>
      <c r="L424" s="634" t="s">
        <v>668</v>
      </c>
      <c r="M424" s="625" t="s">
        <v>1877</v>
      </c>
      <c r="N424" s="642" t="str">
        <f t="shared" si="6"/>
        <v>奈良県山添村</v>
      </c>
      <c r="O424" s="622">
        <v>10.210000000000001</v>
      </c>
      <c r="P424" s="625">
        <v>10.17</v>
      </c>
      <c r="Q424" s="658">
        <v>10.14</v>
      </c>
      <c r="T424" s="1"/>
      <c r="U424" s="1"/>
      <c r="V424" s="1"/>
      <c r="W424" s="1"/>
      <c r="X424" s="1"/>
    </row>
    <row r="425" spans="5:24">
      <c r="E425" s="2"/>
      <c r="G425" s="7" t="s">
        <v>603</v>
      </c>
      <c r="H425" s="7" t="s">
        <v>1099</v>
      </c>
      <c r="J425" s="11" t="s">
        <v>951</v>
      </c>
      <c r="K425" s="16">
        <v>0.03</v>
      </c>
      <c r="L425" s="634" t="s">
        <v>668</v>
      </c>
      <c r="M425" s="625" t="s">
        <v>1878</v>
      </c>
      <c r="N425" s="642" t="str">
        <f t="shared" si="6"/>
        <v>奈良県平群町</v>
      </c>
      <c r="O425" s="622">
        <v>10.210000000000001</v>
      </c>
      <c r="P425" s="625">
        <v>10.17</v>
      </c>
      <c r="Q425" s="658">
        <v>10.14</v>
      </c>
      <c r="T425" s="1"/>
      <c r="U425" s="1"/>
      <c r="V425" s="1"/>
      <c r="W425" s="1"/>
      <c r="X425" s="1"/>
    </row>
    <row r="426" spans="5:24">
      <c r="E426" s="2"/>
      <c r="G426" s="7" t="s">
        <v>603</v>
      </c>
      <c r="H426" s="7" t="s">
        <v>1100</v>
      </c>
      <c r="J426" s="11" t="s">
        <v>951</v>
      </c>
      <c r="K426" s="16">
        <v>0.03</v>
      </c>
      <c r="L426" s="634" t="s">
        <v>668</v>
      </c>
      <c r="M426" s="625" t="s">
        <v>1879</v>
      </c>
      <c r="N426" s="642" t="str">
        <f t="shared" si="6"/>
        <v>奈良県三郷町</v>
      </c>
      <c r="O426" s="622">
        <v>10.210000000000001</v>
      </c>
      <c r="P426" s="625">
        <v>10.17</v>
      </c>
      <c r="Q426" s="658">
        <v>10.14</v>
      </c>
      <c r="T426" s="1"/>
      <c r="U426" s="1"/>
      <c r="V426" s="1"/>
      <c r="W426" s="1"/>
      <c r="X426" s="1"/>
    </row>
    <row r="427" spans="5:24">
      <c r="E427" s="2"/>
      <c r="G427" s="7" t="s">
        <v>603</v>
      </c>
      <c r="H427" s="7" t="s">
        <v>1101</v>
      </c>
      <c r="J427" s="11" t="s">
        <v>951</v>
      </c>
      <c r="K427" s="16">
        <v>0.03</v>
      </c>
      <c r="L427" s="634" t="s">
        <v>668</v>
      </c>
      <c r="M427" s="625" t="s">
        <v>1880</v>
      </c>
      <c r="N427" s="642" t="str">
        <f t="shared" si="6"/>
        <v>奈良県斑鳩町</v>
      </c>
      <c r="O427" s="622">
        <v>10.210000000000001</v>
      </c>
      <c r="P427" s="625">
        <v>10.17</v>
      </c>
      <c r="Q427" s="658">
        <v>10.14</v>
      </c>
      <c r="T427" s="1"/>
      <c r="U427" s="1"/>
      <c r="V427" s="1"/>
      <c r="W427" s="1"/>
      <c r="X427" s="1"/>
    </row>
    <row r="428" spans="5:24">
      <c r="E428" s="2"/>
      <c r="G428" s="7" t="s">
        <v>603</v>
      </c>
      <c r="H428" s="7" t="s">
        <v>1102</v>
      </c>
      <c r="J428" s="11" t="s">
        <v>951</v>
      </c>
      <c r="K428" s="16">
        <v>0.03</v>
      </c>
      <c r="L428" s="634" t="s">
        <v>668</v>
      </c>
      <c r="M428" s="625" t="s">
        <v>1881</v>
      </c>
      <c r="N428" s="642" t="str">
        <f t="shared" si="6"/>
        <v>奈良県安堵町</v>
      </c>
      <c r="O428" s="622">
        <v>10.210000000000001</v>
      </c>
      <c r="P428" s="625">
        <v>10.17</v>
      </c>
      <c r="Q428" s="658">
        <v>10.14</v>
      </c>
      <c r="T428" s="1"/>
      <c r="U428" s="1"/>
      <c r="V428" s="1"/>
      <c r="W428" s="1"/>
      <c r="X428" s="1"/>
    </row>
    <row r="429" spans="5:24">
      <c r="E429" s="2"/>
      <c r="G429" s="7" t="s">
        <v>603</v>
      </c>
      <c r="H429" s="7" t="s">
        <v>1103</v>
      </c>
      <c r="J429" s="11" t="s">
        <v>951</v>
      </c>
      <c r="K429" s="16">
        <v>0.03</v>
      </c>
      <c r="L429" s="634" t="s">
        <v>668</v>
      </c>
      <c r="M429" s="625" t="s">
        <v>2533</v>
      </c>
      <c r="N429" s="642" t="str">
        <f t="shared" si="6"/>
        <v>奈良県川西町</v>
      </c>
      <c r="O429" s="622">
        <v>10.210000000000001</v>
      </c>
      <c r="P429" s="625">
        <v>10.17</v>
      </c>
      <c r="Q429" s="658">
        <v>10.14</v>
      </c>
      <c r="T429" s="1"/>
      <c r="U429" s="1"/>
      <c r="V429" s="1"/>
      <c r="W429" s="1"/>
      <c r="X429" s="1"/>
    </row>
    <row r="430" spans="5:24">
      <c r="E430" s="2"/>
      <c r="G430" s="7" t="s">
        <v>603</v>
      </c>
      <c r="H430" s="7" t="s">
        <v>1104</v>
      </c>
      <c r="J430" s="11" t="s">
        <v>951</v>
      </c>
      <c r="K430" s="16">
        <v>0.03</v>
      </c>
      <c r="L430" s="634" t="s">
        <v>668</v>
      </c>
      <c r="M430" s="625" t="s">
        <v>1882</v>
      </c>
      <c r="N430" s="642" t="str">
        <f t="shared" si="6"/>
        <v>奈良県三宅町</v>
      </c>
      <c r="O430" s="622">
        <v>10.210000000000001</v>
      </c>
      <c r="P430" s="625">
        <v>10.17</v>
      </c>
      <c r="Q430" s="658">
        <v>10.14</v>
      </c>
      <c r="T430" s="1"/>
      <c r="U430" s="1"/>
      <c r="V430" s="1"/>
      <c r="W430" s="1"/>
      <c r="X430" s="1"/>
    </row>
    <row r="431" spans="5:24">
      <c r="E431" s="2"/>
      <c r="G431" s="7" t="s">
        <v>603</v>
      </c>
      <c r="H431" s="7" t="s">
        <v>1105</v>
      </c>
      <c r="J431" s="11" t="s">
        <v>951</v>
      </c>
      <c r="K431" s="16">
        <v>0.03</v>
      </c>
      <c r="L431" s="634" t="s">
        <v>668</v>
      </c>
      <c r="M431" s="625" t="s">
        <v>1883</v>
      </c>
      <c r="N431" s="642" t="str">
        <f t="shared" si="6"/>
        <v>奈良県田原本町</v>
      </c>
      <c r="O431" s="622">
        <v>10.210000000000001</v>
      </c>
      <c r="P431" s="625">
        <v>10.17</v>
      </c>
      <c r="Q431" s="658">
        <v>10.14</v>
      </c>
      <c r="T431" s="1"/>
      <c r="U431" s="1"/>
      <c r="V431" s="1"/>
      <c r="W431" s="1"/>
      <c r="X431" s="1"/>
    </row>
    <row r="432" spans="5:24">
      <c r="E432" s="2"/>
      <c r="G432" s="7" t="s">
        <v>603</v>
      </c>
      <c r="H432" s="7" t="s">
        <v>1106</v>
      </c>
      <c r="J432" s="11" t="s">
        <v>951</v>
      </c>
      <c r="K432" s="16">
        <v>0.03</v>
      </c>
      <c r="L432" s="634" t="s">
        <v>668</v>
      </c>
      <c r="M432" s="625" t="s">
        <v>1884</v>
      </c>
      <c r="N432" s="642" t="str">
        <f t="shared" si="6"/>
        <v>奈良県曽爾村</v>
      </c>
      <c r="O432" s="622">
        <v>10.210000000000001</v>
      </c>
      <c r="P432" s="625">
        <v>10.17</v>
      </c>
      <c r="Q432" s="658">
        <v>10.14</v>
      </c>
      <c r="T432" s="1"/>
      <c r="U432" s="1"/>
      <c r="V432" s="1"/>
      <c r="W432" s="1"/>
      <c r="X432" s="1"/>
    </row>
    <row r="433" spans="5:24">
      <c r="E433" s="2"/>
      <c r="G433" s="7" t="s">
        <v>603</v>
      </c>
      <c r="H433" s="7" t="s">
        <v>1107</v>
      </c>
      <c r="J433" s="11" t="s">
        <v>951</v>
      </c>
      <c r="K433" s="16">
        <v>0.03</v>
      </c>
      <c r="L433" s="634" t="s">
        <v>668</v>
      </c>
      <c r="M433" s="625" t="s">
        <v>1887</v>
      </c>
      <c r="N433" s="642" t="str">
        <f t="shared" si="6"/>
        <v>奈良県明日香村</v>
      </c>
      <c r="O433" s="622">
        <v>10.210000000000001</v>
      </c>
      <c r="P433" s="625">
        <v>10.17</v>
      </c>
      <c r="Q433" s="658">
        <v>10.14</v>
      </c>
      <c r="T433" s="1"/>
      <c r="U433" s="1"/>
      <c r="V433" s="1"/>
      <c r="W433" s="1"/>
      <c r="X433" s="1"/>
    </row>
    <row r="434" spans="5:24">
      <c r="E434" s="2"/>
      <c r="G434" s="7" t="s">
        <v>603</v>
      </c>
      <c r="H434" s="7" t="s">
        <v>1108</v>
      </c>
      <c r="J434" s="11" t="s">
        <v>951</v>
      </c>
      <c r="K434" s="16">
        <v>0.03</v>
      </c>
      <c r="L434" s="634" t="s">
        <v>668</v>
      </c>
      <c r="M434" s="625" t="s">
        <v>1888</v>
      </c>
      <c r="N434" s="642" t="str">
        <f t="shared" si="6"/>
        <v>奈良県上牧町</v>
      </c>
      <c r="O434" s="622">
        <v>10.210000000000001</v>
      </c>
      <c r="P434" s="625">
        <v>10.17</v>
      </c>
      <c r="Q434" s="658">
        <v>10.14</v>
      </c>
      <c r="T434" s="1"/>
      <c r="U434" s="1"/>
      <c r="V434" s="1"/>
      <c r="W434" s="1"/>
      <c r="X434" s="1"/>
    </row>
    <row r="435" spans="5:24">
      <c r="E435" s="2"/>
      <c r="G435" s="7" t="s">
        <v>603</v>
      </c>
      <c r="H435" s="7" t="s">
        <v>1109</v>
      </c>
      <c r="J435" s="11" t="s">
        <v>951</v>
      </c>
      <c r="K435" s="16">
        <v>0.03</v>
      </c>
      <c r="L435" s="634" t="s">
        <v>668</v>
      </c>
      <c r="M435" s="625" t="s">
        <v>1889</v>
      </c>
      <c r="N435" s="642" t="str">
        <f t="shared" si="6"/>
        <v>奈良県王寺町</v>
      </c>
      <c r="O435" s="622">
        <v>10.210000000000001</v>
      </c>
      <c r="P435" s="625">
        <v>10.17</v>
      </c>
      <c r="Q435" s="658">
        <v>10.14</v>
      </c>
      <c r="T435" s="1"/>
      <c r="U435" s="1"/>
      <c r="V435" s="1"/>
      <c r="W435" s="1"/>
      <c r="X435" s="1"/>
    </row>
    <row r="436" spans="5:24">
      <c r="E436" s="2"/>
      <c r="G436" s="7" t="s">
        <v>603</v>
      </c>
      <c r="H436" s="7" t="s">
        <v>1110</v>
      </c>
      <c r="J436" s="11" t="s">
        <v>951</v>
      </c>
      <c r="K436" s="16">
        <v>0.03</v>
      </c>
      <c r="L436" s="634" t="s">
        <v>668</v>
      </c>
      <c r="M436" s="625" t="s">
        <v>1890</v>
      </c>
      <c r="N436" s="642" t="str">
        <f t="shared" si="6"/>
        <v>奈良県広陵町</v>
      </c>
      <c r="O436" s="622">
        <v>10.210000000000001</v>
      </c>
      <c r="P436" s="625">
        <v>10.17</v>
      </c>
      <c r="Q436" s="658">
        <v>10.14</v>
      </c>
      <c r="T436" s="1"/>
      <c r="U436" s="1"/>
      <c r="V436" s="1"/>
      <c r="W436" s="1"/>
      <c r="X436" s="1"/>
    </row>
    <row r="437" spans="5:24">
      <c r="E437" s="2"/>
      <c r="G437" s="7" t="s">
        <v>603</v>
      </c>
      <c r="H437" s="7" t="s">
        <v>1111</v>
      </c>
      <c r="J437" s="11" t="s">
        <v>951</v>
      </c>
      <c r="K437" s="16">
        <v>0.03</v>
      </c>
      <c r="L437" s="634" t="s">
        <v>668</v>
      </c>
      <c r="M437" s="625" t="s">
        <v>1891</v>
      </c>
      <c r="N437" s="642" t="str">
        <f t="shared" si="6"/>
        <v>奈良県河合町</v>
      </c>
      <c r="O437" s="622">
        <v>10.210000000000001</v>
      </c>
      <c r="P437" s="625">
        <v>10.17</v>
      </c>
      <c r="Q437" s="658">
        <v>10.14</v>
      </c>
      <c r="T437" s="1"/>
      <c r="U437" s="1"/>
      <c r="V437" s="1"/>
      <c r="W437" s="1"/>
      <c r="X437" s="1"/>
    </row>
    <row r="438" spans="5:24">
      <c r="E438" s="2"/>
      <c r="G438" s="7" t="s">
        <v>603</v>
      </c>
      <c r="H438" s="7" t="s">
        <v>1112</v>
      </c>
      <c r="J438" s="11" t="s">
        <v>951</v>
      </c>
      <c r="K438" s="16">
        <v>0.03</v>
      </c>
      <c r="L438" s="634" t="s">
        <v>682</v>
      </c>
      <c r="M438" s="625" t="s">
        <v>1965</v>
      </c>
      <c r="N438" s="642" t="str">
        <f t="shared" si="6"/>
        <v>岡山県岡山市</v>
      </c>
      <c r="O438" s="622">
        <v>10.210000000000001</v>
      </c>
      <c r="P438" s="625">
        <v>10.17</v>
      </c>
      <c r="Q438" s="658">
        <v>10.14</v>
      </c>
      <c r="T438" s="1"/>
      <c r="U438" s="1"/>
      <c r="V438" s="1"/>
      <c r="W438" s="1"/>
      <c r="X438" s="1"/>
    </row>
    <row r="439" spans="5:24">
      <c r="E439" s="2"/>
      <c r="G439" s="7" t="s">
        <v>603</v>
      </c>
      <c r="H439" s="7" t="s">
        <v>1113</v>
      </c>
      <c r="J439" s="11" t="s">
        <v>951</v>
      </c>
      <c r="K439" s="16">
        <v>0.03</v>
      </c>
      <c r="L439" s="634" t="s">
        <v>685</v>
      </c>
      <c r="M439" s="625" t="s">
        <v>2001</v>
      </c>
      <c r="N439" s="642" t="str">
        <f t="shared" si="6"/>
        <v>広島県東広島市</v>
      </c>
      <c r="O439" s="622">
        <v>10.210000000000001</v>
      </c>
      <c r="P439" s="625">
        <v>10.17</v>
      </c>
      <c r="Q439" s="658">
        <v>10.14</v>
      </c>
      <c r="T439" s="1"/>
      <c r="U439" s="1"/>
      <c r="V439" s="1"/>
      <c r="W439" s="1"/>
      <c r="X439" s="1"/>
    </row>
    <row r="440" spans="5:24">
      <c r="E440" s="2"/>
      <c r="G440" s="7" t="s">
        <v>603</v>
      </c>
      <c r="H440" s="7" t="s">
        <v>1114</v>
      </c>
      <c r="J440" s="11" t="s">
        <v>951</v>
      </c>
      <c r="K440" s="16">
        <v>0.03</v>
      </c>
      <c r="L440" s="634" t="s">
        <v>685</v>
      </c>
      <c r="M440" s="625" t="s">
        <v>2002</v>
      </c>
      <c r="N440" s="642" t="str">
        <f t="shared" si="6"/>
        <v>広島県廿日市市</v>
      </c>
      <c r="O440" s="622">
        <v>10.210000000000001</v>
      </c>
      <c r="P440" s="625">
        <v>10.17</v>
      </c>
      <c r="Q440" s="658">
        <v>10.14</v>
      </c>
      <c r="T440" s="1"/>
      <c r="U440" s="1"/>
      <c r="V440" s="1"/>
      <c r="W440" s="1"/>
      <c r="X440" s="1"/>
    </row>
    <row r="441" spans="5:24">
      <c r="E441" s="2"/>
      <c r="G441" s="7" t="s">
        <v>603</v>
      </c>
      <c r="H441" s="7" t="s">
        <v>1115</v>
      </c>
      <c r="J441" s="11" t="s">
        <v>951</v>
      </c>
      <c r="K441" s="16">
        <v>0.03</v>
      </c>
      <c r="L441" s="634" t="s">
        <v>685</v>
      </c>
      <c r="M441" s="625" t="s">
        <v>2006</v>
      </c>
      <c r="N441" s="642" t="str">
        <f t="shared" si="6"/>
        <v>広島県海田町</v>
      </c>
      <c r="O441" s="622">
        <v>10.210000000000001</v>
      </c>
      <c r="P441" s="625">
        <v>10.17</v>
      </c>
      <c r="Q441" s="658">
        <v>10.14</v>
      </c>
      <c r="T441" s="1"/>
      <c r="U441" s="1"/>
      <c r="V441" s="1"/>
      <c r="W441" s="1"/>
      <c r="X441" s="1"/>
    </row>
    <row r="442" spans="5:24">
      <c r="E442" s="2"/>
      <c r="G442" s="7" t="s">
        <v>603</v>
      </c>
      <c r="H442" s="7" t="s">
        <v>1117</v>
      </c>
      <c r="J442" s="11" t="s">
        <v>951</v>
      </c>
      <c r="K442" s="16">
        <v>0.03</v>
      </c>
      <c r="L442" s="634" t="s">
        <v>685</v>
      </c>
      <c r="M442" s="625" t="s">
        <v>2459</v>
      </c>
      <c r="N442" s="642" t="str">
        <f t="shared" si="6"/>
        <v>広島県熊野町</v>
      </c>
      <c r="O442" s="622">
        <v>10.210000000000001</v>
      </c>
      <c r="P442" s="625">
        <v>10.17</v>
      </c>
      <c r="Q442" s="658">
        <v>10.14</v>
      </c>
      <c r="T442" s="1"/>
      <c r="U442" s="1"/>
      <c r="V442" s="1"/>
      <c r="W442" s="1"/>
      <c r="X442" s="1"/>
    </row>
    <row r="443" spans="5:24">
      <c r="E443" s="2"/>
      <c r="G443" s="7" t="s">
        <v>603</v>
      </c>
      <c r="H443" s="7" t="s">
        <v>1118</v>
      </c>
      <c r="J443" s="11" t="s">
        <v>951</v>
      </c>
      <c r="K443" s="16">
        <v>0.03</v>
      </c>
      <c r="L443" s="634" t="s">
        <v>685</v>
      </c>
      <c r="M443" s="625" t="s">
        <v>2008</v>
      </c>
      <c r="N443" s="642" t="str">
        <f t="shared" si="6"/>
        <v>広島県坂町</v>
      </c>
      <c r="O443" s="622">
        <v>10.210000000000001</v>
      </c>
      <c r="P443" s="625">
        <v>10.17</v>
      </c>
      <c r="Q443" s="658">
        <v>10.14</v>
      </c>
      <c r="T443" s="1"/>
      <c r="U443" s="1"/>
      <c r="V443" s="1"/>
      <c r="W443" s="1"/>
      <c r="X443" s="1"/>
    </row>
    <row r="444" spans="5:24">
      <c r="E444" s="2"/>
      <c r="G444" s="7" t="s">
        <v>603</v>
      </c>
      <c r="H444" s="7" t="s">
        <v>1119</v>
      </c>
      <c r="J444" s="11" t="s">
        <v>951</v>
      </c>
      <c r="K444" s="16">
        <v>0.03</v>
      </c>
      <c r="L444" s="634" t="s">
        <v>688</v>
      </c>
      <c r="M444" s="625" t="s">
        <v>2025</v>
      </c>
      <c r="N444" s="642" t="str">
        <f t="shared" si="6"/>
        <v>山口県周南市</v>
      </c>
      <c r="O444" s="622">
        <v>10.210000000000001</v>
      </c>
      <c r="P444" s="625">
        <v>10.17</v>
      </c>
      <c r="Q444" s="658">
        <v>10.14</v>
      </c>
      <c r="T444" s="1"/>
      <c r="U444" s="1"/>
      <c r="V444" s="1"/>
      <c r="W444" s="1"/>
      <c r="X444" s="1"/>
    </row>
    <row r="445" spans="5:24">
      <c r="E445" s="2"/>
      <c r="G445" s="7" t="s">
        <v>603</v>
      </c>
      <c r="H445" s="7" t="s">
        <v>1120</v>
      </c>
      <c r="J445" s="11" t="s">
        <v>951</v>
      </c>
      <c r="K445" s="16">
        <v>0.03</v>
      </c>
      <c r="L445" s="634" t="s">
        <v>692</v>
      </c>
      <c r="M445" s="625" t="s">
        <v>2033</v>
      </c>
      <c r="N445" s="642" t="str">
        <f t="shared" si="6"/>
        <v>徳島県徳島市</v>
      </c>
      <c r="O445" s="622">
        <v>10.210000000000001</v>
      </c>
      <c r="P445" s="625">
        <v>10.17</v>
      </c>
      <c r="Q445" s="658">
        <v>10.14</v>
      </c>
      <c r="T445" s="1"/>
      <c r="U445" s="1"/>
      <c r="V445" s="1"/>
      <c r="W445" s="1"/>
      <c r="X445" s="1"/>
    </row>
    <row r="446" spans="5:24">
      <c r="E446" s="2"/>
      <c r="G446" s="7" t="s">
        <v>603</v>
      </c>
      <c r="H446" s="7" t="s">
        <v>1121</v>
      </c>
      <c r="J446" s="11" t="s">
        <v>951</v>
      </c>
      <c r="K446" s="16">
        <v>0.03</v>
      </c>
      <c r="L446" s="634" t="s">
        <v>695</v>
      </c>
      <c r="M446" s="625" t="s">
        <v>2057</v>
      </c>
      <c r="N446" s="642" t="str">
        <f t="shared" si="6"/>
        <v>香川県高松市</v>
      </c>
      <c r="O446" s="622">
        <v>10.210000000000001</v>
      </c>
      <c r="P446" s="625">
        <v>10.17</v>
      </c>
      <c r="Q446" s="658">
        <v>10.14</v>
      </c>
      <c r="T446" s="1"/>
      <c r="U446" s="1"/>
      <c r="V446" s="1"/>
      <c r="W446" s="1"/>
      <c r="X446" s="1"/>
    </row>
    <row r="447" spans="5:24">
      <c r="E447" s="2"/>
      <c r="G447" s="7" t="s">
        <v>603</v>
      </c>
      <c r="H447" s="7" t="s">
        <v>1122</v>
      </c>
      <c r="J447" s="11" t="s">
        <v>951</v>
      </c>
      <c r="K447" s="16">
        <v>0.03</v>
      </c>
      <c r="L447" s="634" t="s">
        <v>704</v>
      </c>
      <c r="M447" s="625" t="s">
        <v>2127</v>
      </c>
      <c r="N447" s="642" t="str">
        <f t="shared" si="6"/>
        <v>福岡県北九州市</v>
      </c>
      <c r="O447" s="622">
        <v>10.210000000000001</v>
      </c>
      <c r="P447" s="625">
        <v>10.17</v>
      </c>
      <c r="Q447" s="658">
        <v>10.14</v>
      </c>
      <c r="T447" s="1"/>
      <c r="U447" s="1"/>
      <c r="V447" s="1"/>
      <c r="W447" s="1"/>
      <c r="X447" s="1"/>
    </row>
    <row r="448" spans="5:24">
      <c r="E448" s="2"/>
      <c r="G448" s="7" t="s">
        <v>603</v>
      </c>
      <c r="H448" s="7" t="s">
        <v>1123</v>
      </c>
      <c r="J448" s="11" t="s">
        <v>951</v>
      </c>
      <c r="K448" s="16">
        <v>0.03</v>
      </c>
      <c r="L448" s="634" t="s">
        <v>704</v>
      </c>
      <c r="M448" s="625" t="s">
        <v>2132</v>
      </c>
      <c r="N448" s="642" t="str">
        <f t="shared" si="6"/>
        <v>福岡県飯塚市</v>
      </c>
      <c r="O448" s="622">
        <v>10.210000000000001</v>
      </c>
      <c r="P448" s="625">
        <v>10.17</v>
      </c>
      <c r="Q448" s="658">
        <v>10.14</v>
      </c>
      <c r="T448" s="1"/>
      <c r="U448" s="1"/>
      <c r="V448" s="1"/>
      <c r="W448" s="1"/>
      <c r="X448" s="1"/>
    </row>
    <row r="449" spans="5:24">
      <c r="E449" s="2"/>
      <c r="G449" s="7" t="s">
        <v>603</v>
      </c>
      <c r="H449" s="7" t="s">
        <v>1124</v>
      </c>
      <c r="J449" s="11" t="s">
        <v>951</v>
      </c>
      <c r="K449" s="16">
        <v>0.03</v>
      </c>
      <c r="L449" s="634" t="s">
        <v>704</v>
      </c>
      <c r="M449" s="625" t="s">
        <v>2142</v>
      </c>
      <c r="N449" s="642" t="str">
        <f t="shared" si="6"/>
        <v>福岡県筑紫野市</v>
      </c>
      <c r="O449" s="622">
        <v>10.210000000000001</v>
      </c>
      <c r="P449" s="625">
        <v>10.17</v>
      </c>
      <c r="Q449" s="658">
        <v>10.14</v>
      </c>
      <c r="T449" s="1"/>
      <c r="U449" s="1"/>
      <c r="V449" s="1"/>
      <c r="W449" s="1"/>
      <c r="X449" s="1"/>
    </row>
    <row r="450" spans="5:24">
      <c r="E450" s="2"/>
      <c r="G450" s="7" t="s">
        <v>603</v>
      </c>
      <c r="H450" s="7" t="s">
        <v>1125</v>
      </c>
      <c r="J450" s="11" t="s">
        <v>951</v>
      </c>
      <c r="K450" s="16">
        <v>0.03</v>
      </c>
      <c r="L450" s="634" t="s">
        <v>704</v>
      </c>
      <c r="M450" s="625" t="s">
        <v>2147</v>
      </c>
      <c r="N450" s="642" t="str">
        <f t="shared" si="6"/>
        <v>福岡県古賀市</v>
      </c>
      <c r="O450" s="622">
        <v>10.210000000000001</v>
      </c>
      <c r="P450" s="625">
        <v>10.17</v>
      </c>
      <c r="Q450" s="658">
        <v>10.14</v>
      </c>
      <c r="T450" s="1"/>
      <c r="U450" s="1"/>
      <c r="V450" s="1"/>
      <c r="W450" s="1"/>
      <c r="X450" s="1"/>
    </row>
    <row r="451" spans="5:24" ht="13.8" thickBot="1">
      <c r="E451" s="2"/>
      <c r="G451" s="7" t="s">
        <v>603</v>
      </c>
      <c r="H451" s="7" t="s">
        <v>1126</v>
      </c>
      <c r="J451" s="12" t="s">
        <v>951</v>
      </c>
      <c r="K451" s="631">
        <v>0.03</v>
      </c>
      <c r="L451" s="673" t="s">
        <v>709</v>
      </c>
      <c r="M451" s="628" t="s">
        <v>2206</v>
      </c>
      <c r="N451" s="667" t="str">
        <f t="shared" si="6"/>
        <v>長崎県長崎市</v>
      </c>
      <c r="O451" s="627">
        <v>10.210000000000001</v>
      </c>
      <c r="P451" s="628">
        <v>10.17</v>
      </c>
      <c r="Q451" s="660">
        <v>10.14</v>
      </c>
      <c r="T451" s="1"/>
      <c r="U451" s="1"/>
      <c r="V451" s="1"/>
      <c r="W451" s="1"/>
      <c r="X451" s="1"/>
    </row>
    <row r="452" spans="5:24" ht="13.8" thickBot="1">
      <c r="E452" s="2"/>
      <c r="G452" s="7" t="s">
        <v>603</v>
      </c>
      <c r="H452" s="7" t="s">
        <v>1127</v>
      </c>
      <c r="J452" s="14" t="s">
        <v>1116</v>
      </c>
      <c r="K452" s="652">
        <v>0</v>
      </c>
      <c r="L452" s="632"/>
      <c r="M452" s="15"/>
      <c r="N452" s="641"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3.8"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2460</v>
      </c>
      <c r="AF1" s="162"/>
      <c r="AG1" s="2" t="s">
        <v>2461</v>
      </c>
      <c r="AM1" s="2" t="s">
        <v>2462</v>
      </c>
      <c r="AO1" s="2" t="s">
        <v>2463</v>
      </c>
      <c r="AQ1" s="163" t="s">
        <v>2464</v>
      </c>
      <c r="BA1" s="164"/>
      <c r="BB1" s="2" t="s">
        <v>2465</v>
      </c>
      <c r="BE1" s="2" t="s">
        <v>2466</v>
      </c>
    </row>
    <row r="2" spans="1:57">
      <c r="A2" s="1451" t="s">
        <v>2467</v>
      </c>
      <c r="B2" s="1454" t="s">
        <v>558</v>
      </c>
      <c r="C2" s="1457" t="s">
        <v>2468</v>
      </c>
      <c r="D2" s="1458"/>
      <c r="E2" s="1458"/>
      <c r="F2" s="1423"/>
      <c r="G2" s="1433" t="s">
        <v>2469</v>
      </c>
      <c r="H2" s="1426"/>
      <c r="I2" s="1459"/>
      <c r="J2" s="1433" t="s">
        <v>2470</v>
      </c>
      <c r="K2" s="1459"/>
      <c r="L2" s="1461" t="s">
        <v>2471</v>
      </c>
      <c r="M2" s="1462"/>
      <c r="N2" s="1462"/>
      <c r="O2" s="1462"/>
      <c r="P2" s="1462"/>
      <c r="Q2" s="1462"/>
      <c r="R2" s="1462"/>
      <c r="S2" s="1462"/>
      <c r="T2" s="1462"/>
      <c r="U2" s="1462"/>
      <c r="V2" s="1462"/>
      <c r="W2" s="1462"/>
      <c r="X2" s="1462"/>
      <c r="Y2" s="1462"/>
      <c r="Z2" s="1462"/>
      <c r="AA2" s="1462"/>
      <c r="AB2" s="1462"/>
      <c r="AC2" s="1462"/>
      <c r="AD2" s="1463"/>
      <c r="AE2" s="1420" t="s">
        <v>2472</v>
      </c>
      <c r="AF2" s="162"/>
      <c r="AG2" s="1436" t="s">
        <v>2473</v>
      </c>
      <c r="AH2" s="1448" t="s">
        <v>40</v>
      </c>
      <c r="AI2" s="1439" t="s">
        <v>2474</v>
      </c>
      <c r="AJ2" s="1440"/>
      <c r="AK2" s="1441"/>
      <c r="AM2" s="165" t="s">
        <v>2475</v>
      </c>
      <c r="AO2" s="9" t="s">
        <v>384</v>
      </c>
      <c r="AQ2" s="1433" t="s">
        <v>2468</v>
      </c>
      <c r="AR2" s="1426" t="s">
        <v>2469</v>
      </c>
      <c r="AS2" s="1426" t="s">
        <v>2470</v>
      </c>
      <c r="AT2" s="1426" t="s">
        <v>2476</v>
      </c>
      <c r="AU2" s="1426" t="s">
        <v>2477</v>
      </c>
      <c r="AV2" s="1426"/>
      <c r="AW2" s="1426"/>
      <c r="AX2" s="1426"/>
      <c r="AY2" s="1426"/>
      <c r="AZ2" s="1423"/>
      <c r="BB2" s="1429" t="s">
        <v>2473</v>
      </c>
      <c r="BC2" s="1423" t="s">
        <v>2478</v>
      </c>
      <c r="BE2" s="1420" t="s">
        <v>2479</v>
      </c>
    </row>
    <row r="3" spans="1:57" ht="12.6" thickBot="1">
      <c r="A3" s="1452"/>
      <c r="B3" s="1455"/>
      <c r="C3" s="1434" t="s">
        <v>2480</v>
      </c>
      <c r="D3" s="1427"/>
      <c r="E3" s="1427"/>
      <c r="F3" s="1460"/>
      <c r="G3" s="1434" t="s">
        <v>2481</v>
      </c>
      <c r="H3" s="1427"/>
      <c r="I3" s="1460"/>
      <c r="J3" s="1434"/>
      <c r="K3" s="1460"/>
      <c r="L3" s="1464" t="s">
        <v>2482</v>
      </c>
      <c r="M3" s="1465"/>
      <c r="N3" s="1465"/>
      <c r="O3" s="1465"/>
      <c r="P3" s="1465"/>
      <c r="Q3" s="1465"/>
      <c r="R3" s="1465"/>
      <c r="S3" s="1465"/>
      <c r="T3" s="1465"/>
      <c r="U3" s="1465"/>
      <c r="V3" s="1465"/>
      <c r="W3" s="1465"/>
      <c r="X3" s="1465"/>
      <c r="Y3" s="1465"/>
      <c r="Z3" s="1465"/>
      <c r="AA3" s="1465"/>
      <c r="AB3" s="1465"/>
      <c r="AC3" s="1465"/>
      <c r="AD3" s="1466"/>
      <c r="AE3" s="1421"/>
      <c r="AF3" s="162"/>
      <c r="AG3" s="1437"/>
      <c r="AH3" s="1449"/>
      <c r="AI3" s="1442"/>
      <c r="AJ3" s="1443"/>
      <c r="AK3" s="1444"/>
      <c r="AM3" s="166"/>
      <c r="AO3" s="7" t="s">
        <v>391</v>
      </c>
      <c r="AQ3" s="1434"/>
      <c r="AR3" s="1427"/>
      <c r="AS3" s="1427"/>
      <c r="AT3" s="1427"/>
      <c r="AU3" s="1427"/>
      <c r="AV3" s="1427"/>
      <c r="AW3" s="1427"/>
      <c r="AX3" s="1427"/>
      <c r="AY3" s="1427"/>
      <c r="AZ3" s="1424"/>
      <c r="BB3" s="1430"/>
      <c r="BC3" s="1424"/>
      <c r="BE3" s="1421"/>
    </row>
    <row r="4" spans="1:57" ht="24.6" thickBot="1">
      <c r="A4" s="1453"/>
      <c r="B4" s="1456"/>
      <c r="C4" s="182" t="s">
        <v>2483</v>
      </c>
      <c r="D4" s="183" t="s">
        <v>2484</v>
      </c>
      <c r="E4" s="183" t="s">
        <v>2485</v>
      </c>
      <c r="F4" s="195" t="s">
        <v>2486</v>
      </c>
      <c r="G4" s="182" t="s">
        <v>2487</v>
      </c>
      <c r="H4" s="183" t="s">
        <v>2488</v>
      </c>
      <c r="I4" s="195" t="s">
        <v>2489</v>
      </c>
      <c r="J4" s="182" t="s">
        <v>2490</v>
      </c>
      <c r="K4" s="195" t="s">
        <v>2491</v>
      </c>
      <c r="L4" s="196" t="s">
        <v>384</v>
      </c>
      <c r="M4" s="185" t="s">
        <v>391</v>
      </c>
      <c r="N4" s="185" t="s">
        <v>392</v>
      </c>
      <c r="O4" s="185" t="s">
        <v>393</v>
      </c>
      <c r="P4" s="185" t="s">
        <v>394</v>
      </c>
      <c r="Q4" s="185" t="s">
        <v>396</v>
      </c>
      <c r="R4" s="185" t="s">
        <v>398</v>
      </c>
      <c r="S4" s="185" t="s">
        <v>399</v>
      </c>
      <c r="T4" s="185" t="s">
        <v>400</v>
      </c>
      <c r="U4" s="185" t="s">
        <v>401</v>
      </c>
      <c r="V4" s="185" t="s">
        <v>402</v>
      </c>
      <c r="W4" s="185" t="s">
        <v>403</v>
      </c>
      <c r="X4" s="185" t="s">
        <v>404</v>
      </c>
      <c r="Y4" s="185" t="s">
        <v>405</v>
      </c>
      <c r="Z4" s="185" t="s">
        <v>406</v>
      </c>
      <c r="AA4" s="185" t="s">
        <v>407</v>
      </c>
      <c r="AB4" s="185" t="s">
        <v>408</v>
      </c>
      <c r="AC4" s="205" t="s">
        <v>409</v>
      </c>
      <c r="AD4" s="197" t="s">
        <v>410</v>
      </c>
      <c r="AE4" s="1422"/>
      <c r="AF4" s="162"/>
      <c r="AG4" s="1438"/>
      <c r="AH4" s="1450"/>
      <c r="AI4" s="1445"/>
      <c r="AJ4" s="1446"/>
      <c r="AK4" s="1447"/>
      <c r="AO4" s="7" t="s">
        <v>392</v>
      </c>
      <c r="AQ4" s="1435"/>
      <c r="AR4" s="1428"/>
      <c r="AS4" s="1428"/>
      <c r="AT4" s="1428"/>
      <c r="AU4" s="1428"/>
      <c r="AV4" s="1428"/>
      <c r="AW4" s="1428"/>
      <c r="AX4" s="1428"/>
      <c r="AY4" s="1428"/>
      <c r="AZ4" s="167" t="s">
        <v>2492</v>
      </c>
      <c r="BB4" s="1431"/>
      <c r="BC4" s="1425"/>
      <c r="BE4" s="1422"/>
    </row>
    <row r="5" spans="1:57">
      <c r="A5" s="153" t="s">
        <v>48</v>
      </c>
      <c r="B5" s="189"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6">
        <v>7.5999999999999998E-2</v>
      </c>
      <c r="AD5" s="209">
        <v>0</v>
      </c>
      <c r="AE5" s="194">
        <v>2.1000000000000001E-2</v>
      </c>
      <c r="AF5" s="162"/>
      <c r="AG5" s="127" t="s">
        <v>573</v>
      </c>
      <c r="AH5" s="157">
        <v>11</v>
      </c>
      <c r="AI5" s="122" t="s">
        <v>2493</v>
      </c>
      <c r="AJ5" s="120" t="s">
        <v>390</v>
      </c>
      <c r="AK5" s="121"/>
      <c r="AM5" s="165" t="s">
        <v>2475</v>
      </c>
      <c r="AO5" s="7" t="s">
        <v>393</v>
      </c>
      <c r="AQ5" s="168" t="s">
        <v>2483</v>
      </c>
      <c r="AR5" s="169" t="s">
        <v>2487</v>
      </c>
      <c r="AS5" s="170" t="s">
        <v>2491</v>
      </c>
      <c r="AT5" s="170" t="str">
        <f>AQ5&amp;AR5&amp;AS5</f>
        <v>旧処遇改善加算Ⅰ特定加算Ⅰベア加算なし</v>
      </c>
      <c r="AU5" s="170" t="s">
        <v>2494</v>
      </c>
      <c r="AV5" s="171" t="s">
        <v>384</v>
      </c>
      <c r="AW5" s="171" t="s">
        <v>391</v>
      </c>
      <c r="AX5" s="171" t="s">
        <v>392</v>
      </c>
      <c r="AY5" s="171" t="s">
        <v>393</v>
      </c>
      <c r="AZ5" s="172" t="s">
        <v>394</v>
      </c>
      <c r="BB5" s="133" t="s">
        <v>573</v>
      </c>
      <c r="BC5" s="173" t="s">
        <v>2478</v>
      </c>
      <c r="BE5" s="212" t="s">
        <v>394</v>
      </c>
    </row>
    <row r="6" spans="1:57" ht="12.6" thickBot="1">
      <c r="A6" s="154" t="s">
        <v>62</v>
      </c>
      <c r="B6" s="190"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7">
        <v>7.5999999999999998E-2</v>
      </c>
      <c r="AD6" s="87">
        <v>0</v>
      </c>
      <c r="AE6" s="192">
        <v>2.1000000000000001E-2</v>
      </c>
      <c r="AF6" s="162"/>
      <c r="AG6" s="128" t="s">
        <v>2495</v>
      </c>
      <c r="AH6" s="158">
        <v>71</v>
      </c>
      <c r="AI6" s="123" t="s">
        <v>397</v>
      </c>
      <c r="AJ6" s="78" t="s">
        <v>395</v>
      </c>
      <c r="AK6" s="79"/>
      <c r="AM6" s="174" t="s">
        <v>389</v>
      </c>
      <c r="AO6" s="8"/>
      <c r="AQ6" s="175" t="s">
        <v>2484</v>
      </c>
      <c r="AR6" s="176" t="s">
        <v>2487</v>
      </c>
      <c r="AS6" s="177" t="s">
        <v>2490</v>
      </c>
      <c r="AT6" s="177" t="str">
        <f t="shared" ref="AT6:AT23" si="0">AQ6&amp;AR6&amp;AS6</f>
        <v>旧処遇改善加算Ⅱ特定加算Ⅰベア加算あり</v>
      </c>
      <c r="AU6" s="177" t="s">
        <v>2494</v>
      </c>
      <c r="AV6" s="178" t="s">
        <v>384</v>
      </c>
      <c r="AW6" s="178" t="s">
        <v>391</v>
      </c>
      <c r="AX6" s="178" t="s">
        <v>392</v>
      </c>
      <c r="AY6" s="178" t="s">
        <v>393</v>
      </c>
      <c r="AZ6" s="179" t="s">
        <v>396</v>
      </c>
      <c r="BB6" s="131" t="s">
        <v>2495</v>
      </c>
      <c r="BC6" s="180" t="s">
        <v>2478</v>
      </c>
      <c r="BE6" s="210" t="s">
        <v>398</v>
      </c>
    </row>
    <row r="7" spans="1:57" ht="12.6" thickBot="1">
      <c r="A7" s="154" t="s">
        <v>65</v>
      </c>
      <c r="B7" s="190"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7">
        <v>7.5999999999999998E-2</v>
      </c>
      <c r="AD7" s="87">
        <v>0</v>
      </c>
      <c r="AE7" s="192">
        <v>2.1000000000000001E-2</v>
      </c>
      <c r="AF7" s="162"/>
      <c r="AG7" s="128" t="s">
        <v>585</v>
      </c>
      <c r="AH7" s="158">
        <v>76</v>
      </c>
      <c r="AI7" s="123" t="s">
        <v>397</v>
      </c>
      <c r="AJ7" s="78" t="s">
        <v>395</v>
      </c>
      <c r="AK7" s="79"/>
      <c r="AM7" s="166"/>
      <c r="AQ7" s="175" t="s">
        <v>2483</v>
      </c>
      <c r="AR7" s="176" t="s">
        <v>2488</v>
      </c>
      <c r="AS7" s="177" t="s">
        <v>2491</v>
      </c>
      <c r="AT7" s="177" t="str">
        <f t="shared" si="0"/>
        <v>旧処遇改善加算Ⅰ特定加算Ⅱベア加算なし</v>
      </c>
      <c r="AU7" s="177" t="s">
        <v>2494</v>
      </c>
      <c r="AV7" s="178" t="s">
        <v>384</v>
      </c>
      <c r="AW7" s="178" t="s">
        <v>391</v>
      </c>
      <c r="AX7" s="178" t="s">
        <v>392</v>
      </c>
      <c r="AY7" s="178" t="s">
        <v>393</v>
      </c>
      <c r="AZ7" s="179" t="s">
        <v>398</v>
      </c>
      <c r="BB7" s="131" t="s">
        <v>2496</v>
      </c>
      <c r="BC7" s="180" t="s">
        <v>2478</v>
      </c>
      <c r="BE7" s="210" t="s">
        <v>400</v>
      </c>
    </row>
    <row r="8" spans="1:57">
      <c r="A8" s="155" t="s">
        <v>55</v>
      </c>
      <c r="B8" s="190"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7">
        <v>3.3000000000000002E-2</v>
      </c>
      <c r="AD8" s="87">
        <v>0</v>
      </c>
      <c r="AE8" s="192">
        <v>0.01</v>
      </c>
      <c r="AF8" s="162"/>
      <c r="AG8" s="128" t="s">
        <v>589</v>
      </c>
      <c r="AH8" s="158">
        <v>12</v>
      </c>
      <c r="AI8" s="123" t="s">
        <v>397</v>
      </c>
      <c r="AJ8" s="78" t="s">
        <v>395</v>
      </c>
      <c r="AK8" s="79"/>
      <c r="AQ8" s="175" t="s">
        <v>2484</v>
      </c>
      <c r="AR8" s="176" t="s">
        <v>2488</v>
      </c>
      <c r="AS8" s="177" t="s">
        <v>2490</v>
      </c>
      <c r="AT8" s="177" t="str">
        <f t="shared" si="0"/>
        <v>旧処遇改善加算Ⅱ特定加算Ⅱベア加算あり</v>
      </c>
      <c r="AU8" s="177" t="s">
        <v>2494</v>
      </c>
      <c r="AV8" s="178" t="s">
        <v>384</v>
      </c>
      <c r="AW8" s="178" t="s">
        <v>391</v>
      </c>
      <c r="AX8" s="178" t="s">
        <v>392</v>
      </c>
      <c r="AY8" s="178" t="s">
        <v>393</v>
      </c>
      <c r="AZ8" s="179" t="s">
        <v>399</v>
      </c>
      <c r="BB8" s="131" t="s">
        <v>589</v>
      </c>
      <c r="BC8" s="180" t="s">
        <v>2478</v>
      </c>
      <c r="BE8" s="210" t="s">
        <v>401</v>
      </c>
    </row>
    <row r="9" spans="1:57">
      <c r="A9" s="154" t="s">
        <v>71</v>
      </c>
      <c r="B9" s="190"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7">
        <v>3.3000000000000002E-2</v>
      </c>
      <c r="AD9" s="87">
        <v>0</v>
      </c>
      <c r="AE9" s="192">
        <v>0.01</v>
      </c>
      <c r="AF9" s="162"/>
      <c r="AG9" s="128" t="s">
        <v>593</v>
      </c>
      <c r="AH9" s="159" t="s">
        <v>58</v>
      </c>
      <c r="AI9" s="123" t="s">
        <v>397</v>
      </c>
      <c r="AJ9" s="78" t="s">
        <v>395</v>
      </c>
      <c r="AK9" s="79"/>
      <c r="AQ9" s="175" t="s">
        <v>2484</v>
      </c>
      <c r="AR9" s="176" t="s">
        <v>2487</v>
      </c>
      <c r="AS9" s="177" t="s">
        <v>2491</v>
      </c>
      <c r="AT9" s="177" t="str">
        <f t="shared" si="0"/>
        <v>旧処遇改善加算Ⅱ特定加算Ⅰベア加算なし</v>
      </c>
      <c r="AU9" s="177" t="s">
        <v>2494</v>
      </c>
      <c r="AV9" s="178" t="s">
        <v>384</v>
      </c>
      <c r="AW9" s="178" t="s">
        <v>391</v>
      </c>
      <c r="AX9" s="178" t="s">
        <v>392</v>
      </c>
      <c r="AY9" s="178" t="s">
        <v>393</v>
      </c>
      <c r="AZ9" s="179" t="s">
        <v>400</v>
      </c>
      <c r="BB9" s="131" t="s">
        <v>593</v>
      </c>
      <c r="BC9" s="180" t="s">
        <v>2497</v>
      </c>
      <c r="BE9" s="210" t="s">
        <v>403</v>
      </c>
    </row>
    <row r="10" spans="1:57">
      <c r="A10" s="154" t="s">
        <v>74</v>
      </c>
      <c r="B10" s="190"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7">
        <v>3.3000000000000002E-2</v>
      </c>
      <c r="AD10" s="87">
        <v>0</v>
      </c>
      <c r="AE10" s="192">
        <v>0.01</v>
      </c>
      <c r="AF10" s="162"/>
      <c r="AG10" s="128" t="s">
        <v>598</v>
      </c>
      <c r="AH10" s="159" t="s">
        <v>595</v>
      </c>
      <c r="AI10" s="123" t="s">
        <v>397</v>
      </c>
      <c r="AJ10" s="78" t="s">
        <v>395</v>
      </c>
      <c r="AK10" s="79"/>
      <c r="AQ10" s="175" t="s">
        <v>2484</v>
      </c>
      <c r="AR10" s="176" t="s">
        <v>2488</v>
      </c>
      <c r="AS10" s="177" t="s">
        <v>2491</v>
      </c>
      <c r="AT10" s="177" t="str">
        <f t="shared" si="0"/>
        <v>旧処遇改善加算Ⅱ特定加算Ⅱベア加算なし</v>
      </c>
      <c r="AU10" s="177" t="s">
        <v>2494</v>
      </c>
      <c r="AV10" s="178" t="s">
        <v>384</v>
      </c>
      <c r="AW10" s="178" t="s">
        <v>391</v>
      </c>
      <c r="AX10" s="178" t="s">
        <v>392</v>
      </c>
      <c r="AY10" s="178" t="s">
        <v>393</v>
      </c>
      <c r="AZ10" s="179" t="s">
        <v>401</v>
      </c>
      <c r="BB10" s="131" t="s">
        <v>598</v>
      </c>
      <c r="BC10" s="180" t="s">
        <v>2478</v>
      </c>
      <c r="BE10" s="210" t="s">
        <v>405</v>
      </c>
    </row>
    <row r="11" spans="1:57" ht="24">
      <c r="A11" s="154" t="s">
        <v>78</v>
      </c>
      <c r="B11" s="190"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7">
        <v>3.3000000000000002E-2</v>
      </c>
      <c r="AD11" s="87">
        <v>0</v>
      </c>
      <c r="AE11" s="192">
        <v>0.01</v>
      </c>
      <c r="AF11" s="162"/>
      <c r="AG11" s="128" t="s">
        <v>602</v>
      </c>
      <c r="AH11" s="159" t="s">
        <v>599</v>
      </c>
      <c r="AI11" s="123" t="s">
        <v>397</v>
      </c>
      <c r="AJ11" s="78" t="s">
        <v>395</v>
      </c>
      <c r="AK11" s="80" t="s">
        <v>2498</v>
      </c>
      <c r="AQ11" s="175" t="s">
        <v>2485</v>
      </c>
      <c r="AR11" s="176" t="s">
        <v>2487</v>
      </c>
      <c r="AS11" s="177" t="s">
        <v>2490</v>
      </c>
      <c r="AT11" s="177" t="str">
        <f t="shared" si="0"/>
        <v>旧処遇改善加算Ⅲ特定加算Ⅰベア加算あり</v>
      </c>
      <c r="AU11" s="177" t="s">
        <v>2494</v>
      </c>
      <c r="AV11" s="178" t="s">
        <v>384</v>
      </c>
      <c r="AW11" s="178" t="s">
        <v>391</v>
      </c>
      <c r="AX11" s="178" t="s">
        <v>392</v>
      </c>
      <c r="AY11" s="178" t="s">
        <v>393</v>
      </c>
      <c r="AZ11" s="179" t="s">
        <v>402</v>
      </c>
      <c r="BB11" s="131" t="s">
        <v>602</v>
      </c>
      <c r="BC11" s="180" t="s">
        <v>2478</v>
      </c>
      <c r="BE11" s="210" t="s">
        <v>406</v>
      </c>
    </row>
    <row r="12" spans="1:57">
      <c r="A12" s="154" t="s">
        <v>81</v>
      </c>
      <c r="B12" s="190"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7">
        <v>2.7999999999999997E-2</v>
      </c>
      <c r="AD12" s="87">
        <v>0</v>
      </c>
      <c r="AE12" s="192">
        <v>8.9999999999999993E-3</v>
      </c>
      <c r="AF12" s="162"/>
      <c r="AG12" s="128" t="s">
        <v>605</v>
      </c>
      <c r="AH12" s="159" t="s">
        <v>61</v>
      </c>
      <c r="AI12" s="123" t="s">
        <v>397</v>
      </c>
      <c r="AJ12" s="78" t="s">
        <v>395</v>
      </c>
      <c r="AK12" s="79"/>
      <c r="AQ12" s="175" t="s">
        <v>2483</v>
      </c>
      <c r="AR12" s="176" t="s">
        <v>2489</v>
      </c>
      <c r="AS12" s="177" t="s">
        <v>2491</v>
      </c>
      <c r="AT12" s="177" t="str">
        <f t="shared" si="0"/>
        <v>旧処遇改善加算Ⅰ特定加算なしベア加算なし</v>
      </c>
      <c r="AU12" s="177" t="s">
        <v>2494</v>
      </c>
      <c r="AV12" s="178" t="s">
        <v>384</v>
      </c>
      <c r="AW12" s="178" t="s">
        <v>391</v>
      </c>
      <c r="AX12" s="178" t="s">
        <v>392</v>
      </c>
      <c r="AY12" s="178" t="s">
        <v>393</v>
      </c>
      <c r="AZ12" s="179" t="s">
        <v>403</v>
      </c>
      <c r="BB12" s="131" t="s">
        <v>605</v>
      </c>
      <c r="BC12" s="180" t="s">
        <v>2478</v>
      </c>
      <c r="BE12" s="210" t="s">
        <v>407</v>
      </c>
    </row>
    <row r="13" spans="1:57" ht="12.6" thickBot="1">
      <c r="A13" s="154" t="s">
        <v>85</v>
      </c>
      <c r="B13" s="190"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7">
        <v>2.7999999999999997E-2</v>
      </c>
      <c r="AD13" s="87">
        <v>0</v>
      </c>
      <c r="AE13" s="192">
        <v>8.9999999999999993E-3</v>
      </c>
      <c r="AF13" s="162"/>
      <c r="AG13" s="128" t="s">
        <v>608</v>
      </c>
      <c r="AH13" s="159" t="s">
        <v>64</v>
      </c>
      <c r="AI13" s="123" t="s">
        <v>397</v>
      </c>
      <c r="AJ13" s="78" t="s">
        <v>395</v>
      </c>
      <c r="AK13" s="79"/>
      <c r="AQ13" s="175" t="s">
        <v>2485</v>
      </c>
      <c r="AR13" s="176" t="s">
        <v>2488</v>
      </c>
      <c r="AS13" s="177" t="s">
        <v>2490</v>
      </c>
      <c r="AT13" s="177" t="str">
        <f t="shared" si="0"/>
        <v>旧処遇改善加算Ⅲ特定加算Ⅱベア加算あり</v>
      </c>
      <c r="AU13" s="177" t="s">
        <v>2494</v>
      </c>
      <c r="AV13" s="178" t="s">
        <v>384</v>
      </c>
      <c r="AW13" s="178" t="s">
        <v>391</v>
      </c>
      <c r="AX13" s="178" t="s">
        <v>392</v>
      </c>
      <c r="AY13" s="178" t="s">
        <v>393</v>
      </c>
      <c r="AZ13" s="179" t="s">
        <v>404</v>
      </c>
      <c r="BB13" s="131" t="s">
        <v>608</v>
      </c>
      <c r="BC13" s="180" t="s">
        <v>2497</v>
      </c>
      <c r="BE13" s="211" t="s">
        <v>409</v>
      </c>
    </row>
    <row r="14" spans="1:57">
      <c r="A14" s="154" t="s">
        <v>88</v>
      </c>
      <c r="B14" s="190"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7">
        <v>4.5999999999999999E-2</v>
      </c>
      <c r="AD14" s="87">
        <v>0</v>
      </c>
      <c r="AE14" s="192">
        <v>1.2999999999999999E-2</v>
      </c>
      <c r="AF14" s="162"/>
      <c r="AG14" s="128" t="s">
        <v>613</v>
      </c>
      <c r="AH14" s="159" t="s">
        <v>68</v>
      </c>
      <c r="AI14" s="123" t="s">
        <v>397</v>
      </c>
      <c r="AJ14" s="78" t="s">
        <v>395</v>
      </c>
      <c r="AK14" s="80" t="s">
        <v>2499</v>
      </c>
      <c r="AQ14" s="175" t="s">
        <v>2485</v>
      </c>
      <c r="AR14" s="176" t="s">
        <v>2487</v>
      </c>
      <c r="AS14" s="177" t="s">
        <v>2491</v>
      </c>
      <c r="AT14" s="177" t="str">
        <f t="shared" si="0"/>
        <v>旧処遇改善加算Ⅲ特定加算Ⅰベア加算なし</v>
      </c>
      <c r="AU14" s="177" t="s">
        <v>2494</v>
      </c>
      <c r="AV14" s="178" t="s">
        <v>384</v>
      </c>
      <c r="AW14" s="178" t="s">
        <v>391</v>
      </c>
      <c r="AX14" s="178" t="s">
        <v>392</v>
      </c>
      <c r="AY14" s="178" t="s">
        <v>393</v>
      </c>
      <c r="AZ14" s="179" t="s">
        <v>405</v>
      </c>
      <c r="BB14" s="131" t="s">
        <v>613</v>
      </c>
      <c r="BC14" s="180" t="s">
        <v>2478</v>
      </c>
    </row>
    <row r="15" spans="1:57">
      <c r="A15" s="154" t="s">
        <v>92</v>
      </c>
      <c r="B15" s="190"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7">
        <v>4.5999999999999999E-2</v>
      </c>
      <c r="AD15" s="87">
        <v>0</v>
      </c>
      <c r="AE15" s="192">
        <v>1.2999999999999999E-2</v>
      </c>
      <c r="AF15" s="162"/>
      <c r="AG15" s="128" t="s">
        <v>2500</v>
      </c>
      <c r="AH15" s="159" t="s">
        <v>70</v>
      </c>
      <c r="AI15" s="123" t="s">
        <v>397</v>
      </c>
      <c r="AJ15" s="78" t="s">
        <v>395</v>
      </c>
      <c r="AK15" s="80" t="s">
        <v>2499</v>
      </c>
      <c r="AQ15" s="175" t="s">
        <v>2484</v>
      </c>
      <c r="AR15" s="176" t="s">
        <v>2489</v>
      </c>
      <c r="AS15" s="177" t="s">
        <v>2491</v>
      </c>
      <c r="AT15" s="177" t="str">
        <f t="shared" si="0"/>
        <v>旧処遇改善加算Ⅱ特定加算なしベア加算なし</v>
      </c>
      <c r="AU15" s="177" t="s">
        <v>2494</v>
      </c>
      <c r="AV15" s="178" t="s">
        <v>384</v>
      </c>
      <c r="AW15" s="178" t="s">
        <v>391</v>
      </c>
      <c r="AX15" s="178" t="s">
        <v>392</v>
      </c>
      <c r="AY15" s="178" t="s">
        <v>393</v>
      </c>
      <c r="AZ15" s="179" t="s">
        <v>406</v>
      </c>
      <c r="BB15" s="131" t="s">
        <v>2500</v>
      </c>
      <c r="BC15" s="180" t="s">
        <v>2497</v>
      </c>
    </row>
    <row r="16" spans="1:57">
      <c r="A16" s="154" t="s">
        <v>95</v>
      </c>
      <c r="B16" s="190"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7">
        <v>4.5999999999999999E-2</v>
      </c>
      <c r="AD16" s="87">
        <v>0</v>
      </c>
      <c r="AE16" s="192">
        <v>1.2999999999999999E-2</v>
      </c>
      <c r="AF16" s="162"/>
      <c r="AG16" s="128" t="s">
        <v>616</v>
      </c>
      <c r="AH16" s="159" t="s">
        <v>73</v>
      </c>
      <c r="AI16" s="123" t="s">
        <v>397</v>
      </c>
      <c r="AJ16" s="78" t="s">
        <v>395</v>
      </c>
      <c r="AK16" s="80" t="s">
        <v>2499</v>
      </c>
      <c r="AQ16" s="175" t="s">
        <v>2485</v>
      </c>
      <c r="AR16" s="176" t="s">
        <v>2488</v>
      </c>
      <c r="AS16" s="177" t="s">
        <v>2491</v>
      </c>
      <c r="AT16" s="177" t="str">
        <f t="shared" si="0"/>
        <v>旧処遇改善加算Ⅲ特定加算Ⅱベア加算なし</v>
      </c>
      <c r="AU16" s="177" t="s">
        <v>2494</v>
      </c>
      <c r="AV16" s="178" t="s">
        <v>384</v>
      </c>
      <c r="AW16" s="178" t="s">
        <v>391</v>
      </c>
      <c r="AX16" s="178" t="s">
        <v>392</v>
      </c>
      <c r="AY16" s="178" t="s">
        <v>393</v>
      </c>
      <c r="AZ16" s="179" t="s">
        <v>407</v>
      </c>
      <c r="BB16" s="131" t="s">
        <v>616</v>
      </c>
      <c r="BC16" s="180" t="s">
        <v>2497</v>
      </c>
    </row>
    <row r="17" spans="1:55">
      <c r="A17" s="154" t="s">
        <v>98</v>
      </c>
      <c r="B17" s="190"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7">
        <v>4.5999999999999999E-2</v>
      </c>
      <c r="AD17" s="87">
        <v>0</v>
      </c>
      <c r="AE17" s="192">
        <v>1.2999999999999999E-2</v>
      </c>
      <c r="AF17" s="162"/>
      <c r="AG17" s="128" t="s">
        <v>2406</v>
      </c>
      <c r="AH17" s="159" t="s">
        <v>77</v>
      </c>
      <c r="AI17" s="123" t="s">
        <v>397</v>
      </c>
      <c r="AJ17" s="78" t="s">
        <v>395</v>
      </c>
      <c r="AK17" s="80" t="s">
        <v>2499</v>
      </c>
      <c r="AQ17" s="175" t="s">
        <v>2485</v>
      </c>
      <c r="AR17" s="176" t="s">
        <v>2489</v>
      </c>
      <c r="AS17" s="177" t="s">
        <v>2490</v>
      </c>
      <c r="AT17" s="177" t="str">
        <f t="shared" si="0"/>
        <v>旧処遇改善加算Ⅲ特定加算なしベア加算あり</v>
      </c>
      <c r="AU17" s="177" t="s">
        <v>2494</v>
      </c>
      <c r="AV17" s="178" t="s">
        <v>384</v>
      </c>
      <c r="AW17" s="178" t="s">
        <v>391</v>
      </c>
      <c r="AX17" s="178" t="s">
        <v>392</v>
      </c>
      <c r="AY17" s="178" t="s">
        <v>393</v>
      </c>
      <c r="AZ17" s="179" t="s">
        <v>408</v>
      </c>
      <c r="BB17" s="131" t="s">
        <v>2406</v>
      </c>
      <c r="BC17" s="180" t="s">
        <v>2478</v>
      </c>
    </row>
    <row r="18" spans="1:55">
      <c r="A18" s="154" t="s">
        <v>101</v>
      </c>
      <c r="B18" s="190"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7">
        <v>4.5999999999999999E-2</v>
      </c>
      <c r="AD18" s="87">
        <v>0</v>
      </c>
      <c r="AE18" s="192">
        <v>1.2999999999999999E-2</v>
      </c>
      <c r="AF18" s="162"/>
      <c r="AG18" s="128" t="s">
        <v>622</v>
      </c>
      <c r="AH18" s="159" t="s">
        <v>80</v>
      </c>
      <c r="AI18" s="123" t="s">
        <v>397</v>
      </c>
      <c r="AJ18" s="78" t="s">
        <v>395</v>
      </c>
      <c r="AK18" s="80" t="s">
        <v>2499</v>
      </c>
      <c r="AQ18" s="175" t="s">
        <v>2485</v>
      </c>
      <c r="AR18" s="176" t="s">
        <v>2489</v>
      </c>
      <c r="AS18" s="177" t="s">
        <v>2491</v>
      </c>
      <c r="AT18" s="177" t="str">
        <f t="shared" si="0"/>
        <v>旧処遇改善加算Ⅲ特定加算なしベア加算なし</v>
      </c>
      <c r="AU18" s="177" t="s">
        <v>2494</v>
      </c>
      <c r="AV18" s="178" t="s">
        <v>384</v>
      </c>
      <c r="AW18" s="178" t="s">
        <v>391</v>
      </c>
      <c r="AX18" s="178" t="s">
        <v>392</v>
      </c>
      <c r="AY18" s="178" t="s">
        <v>393</v>
      </c>
      <c r="AZ18" s="179" t="s">
        <v>409</v>
      </c>
      <c r="BB18" s="131" t="s">
        <v>622</v>
      </c>
      <c r="BC18" s="180" t="s">
        <v>2497</v>
      </c>
    </row>
    <row r="19" spans="1:55">
      <c r="A19" s="154" t="s">
        <v>105</v>
      </c>
      <c r="B19" s="190"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7">
        <v>6.5000000000000002E-2</v>
      </c>
      <c r="AD19" s="87">
        <v>0</v>
      </c>
      <c r="AE19" s="192">
        <v>2.3E-2</v>
      </c>
      <c r="AF19" s="162"/>
      <c r="AG19" s="128" t="s">
        <v>625</v>
      </c>
      <c r="AH19" s="159" t="s">
        <v>84</v>
      </c>
      <c r="AI19" s="123" t="s">
        <v>397</v>
      </c>
      <c r="AJ19" s="78" t="s">
        <v>395</v>
      </c>
      <c r="AK19" s="79"/>
      <c r="AQ19" s="175" t="s">
        <v>2483</v>
      </c>
      <c r="AR19" s="176" t="s">
        <v>2487</v>
      </c>
      <c r="AS19" s="177" t="s">
        <v>2490</v>
      </c>
      <c r="AT19" s="177" t="str">
        <f t="shared" si="0"/>
        <v>旧処遇改善加算Ⅰ特定加算Ⅰベア加算あり</v>
      </c>
      <c r="AU19" s="177" t="s">
        <v>2494</v>
      </c>
      <c r="AV19" s="178" t="s">
        <v>384</v>
      </c>
      <c r="AW19" s="178" t="s">
        <v>391</v>
      </c>
      <c r="AX19" s="178" t="s">
        <v>392</v>
      </c>
      <c r="AY19" s="178" t="s">
        <v>393</v>
      </c>
      <c r="AZ19" s="181"/>
      <c r="BB19" s="131" t="s">
        <v>625</v>
      </c>
      <c r="BC19" s="180" t="s">
        <v>2478</v>
      </c>
    </row>
    <row r="20" spans="1:55">
      <c r="A20" s="154" t="s">
        <v>108</v>
      </c>
      <c r="B20" s="190"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7">
        <v>6.5000000000000002E-2</v>
      </c>
      <c r="AD20" s="87">
        <v>0</v>
      </c>
      <c r="AE20" s="192">
        <v>2.3E-2</v>
      </c>
      <c r="AF20" s="162"/>
      <c r="AG20" s="128" t="s">
        <v>628</v>
      </c>
      <c r="AH20" s="159" t="s">
        <v>87</v>
      </c>
      <c r="AI20" s="123" t="s">
        <v>397</v>
      </c>
      <c r="AJ20" s="78" t="s">
        <v>395</v>
      </c>
      <c r="AK20" s="79"/>
      <c r="AQ20" s="175" t="s">
        <v>2483</v>
      </c>
      <c r="AR20" s="176" t="s">
        <v>2488</v>
      </c>
      <c r="AS20" s="177" t="s">
        <v>2490</v>
      </c>
      <c r="AT20" s="177" t="str">
        <f t="shared" si="0"/>
        <v>旧処遇改善加算Ⅰ特定加算Ⅱベア加算あり</v>
      </c>
      <c r="AU20" s="177" t="s">
        <v>2494</v>
      </c>
      <c r="AV20" s="178" t="s">
        <v>384</v>
      </c>
      <c r="AW20" s="178" t="s">
        <v>391</v>
      </c>
      <c r="AX20" s="178" t="s">
        <v>392</v>
      </c>
      <c r="AY20" s="178" t="s">
        <v>393</v>
      </c>
      <c r="AZ20" s="181"/>
      <c r="BB20" s="131" t="s">
        <v>628</v>
      </c>
      <c r="BC20" s="180" t="s">
        <v>2497</v>
      </c>
    </row>
    <row r="21" spans="1:55">
      <c r="A21" s="154" t="s">
        <v>112</v>
      </c>
      <c r="B21" s="190"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7">
        <v>5.6000000000000001E-2</v>
      </c>
      <c r="AD21" s="87">
        <v>0</v>
      </c>
      <c r="AE21" s="192">
        <v>1.4999999999999999E-2</v>
      </c>
      <c r="AF21" s="162"/>
      <c r="AG21" s="128" t="s">
        <v>631</v>
      </c>
      <c r="AH21" s="159" t="s">
        <v>91</v>
      </c>
      <c r="AI21" s="123" t="s">
        <v>397</v>
      </c>
      <c r="AJ21" s="78" t="s">
        <v>395</v>
      </c>
      <c r="AK21" s="79"/>
      <c r="AQ21" s="175" t="s">
        <v>2483</v>
      </c>
      <c r="AR21" s="176" t="s">
        <v>2489</v>
      </c>
      <c r="AS21" s="177" t="s">
        <v>2490</v>
      </c>
      <c r="AT21" s="177" t="str">
        <f t="shared" si="0"/>
        <v>旧処遇改善加算Ⅰ特定加算なしベア加算あり</v>
      </c>
      <c r="AU21" s="177" t="s">
        <v>2494</v>
      </c>
      <c r="AV21" s="178" t="s">
        <v>384</v>
      </c>
      <c r="AW21" s="178" t="s">
        <v>391</v>
      </c>
      <c r="AX21" s="178" t="s">
        <v>392</v>
      </c>
      <c r="AY21" s="178" t="s">
        <v>393</v>
      </c>
      <c r="AZ21" s="181"/>
      <c r="BB21" s="131" t="s">
        <v>631</v>
      </c>
      <c r="BC21" s="180" t="s">
        <v>2478</v>
      </c>
    </row>
    <row r="22" spans="1:55">
      <c r="A22" s="154" t="s">
        <v>115</v>
      </c>
      <c r="B22" s="190"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7">
        <v>5.6000000000000001E-2</v>
      </c>
      <c r="AD22" s="87">
        <v>0</v>
      </c>
      <c r="AE22" s="192">
        <v>1.4999999999999999E-2</v>
      </c>
      <c r="AF22" s="162"/>
      <c r="AG22" s="128" t="s">
        <v>634</v>
      </c>
      <c r="AH22" s="159" t="s">
        <v>94</v>
      </c>
      <c r="AI22" s="123" t="s">
        <v>397</v>
      </c>
      <c r="AJ22" s="78" t="s">
        <v>395</v>
      </c>
      <c r="AK22" s="79"/>
      <c r="AQ22" s="175" t="s">
        <v>2484</v>
      </c>
      <c r="AR22" s="176" t="s">
        <v>2489</v>
      </c>
      <c r="AS22" s="177" t="s">
        <v>2490</v>
      </c>
      <c r="AT22" s="177" t="str">
        <f t="shared" si="0"/>
        <v>旧処遇改善加算Ⅱ特定加算なしベア加算あり</v>
      </c>
      <c r="AU22" s="177" t="s">
        <v>2494</v>
      </c>
      <c r="AV22" s="178" t="s">
        <v>384</v>
      </c>
      <c r="AW22" s="178" t="s">
        <v>391</v>
      </c>
      <c r="AX22" s="178" t="s">
        <v>392</v>
      </c>
      <c r="AY22" s="178" t="s">
        <v>393</v>
      </c>
      <c r="AZ22" s="181"/>
      <c r="BB22" s="131" t="s">
        <v>634</v>
      </c>
      <c r="BC22" s="180" t="s">
        <v>2497</v>
      </c>
    </row>
    <row r="23" spans="1:55" ht="12.6" thickBot="1">
      <c r="A23" s="154" t="s">
        <v>118</v>
      </c>
      <c r="B23" s="190"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7">
        <v>5.6000000000000001E-2</v>
      </c>
      <c r="AD23" s="87">
        <v>0</v>
      </c>
      <c r="AE23" s="192">
        <v>1.4999999999999999E-2</v>
      </c>
      <c r="AF23" s="162"/>
      <c r="AG23" s="128" t="s">
        <v>637</v>
      </c>
      <c r="AH23" s="159" t="s">
        <v>97</v>
      </c>
      <c r="AI23" s="123" t="s">
        <v>397</v>
      </c>
      <c r="AJ23" s="78" t="s">
        <v>395</v>
      </c>
      <c r="AK23" s="79"/>
      <c r="AQ23" s="182" t="s">
        <v>2486</v>
      </c>
      <c r="AR23" s="183" t="s">
        <v>2489</v>
      </c>
      <c r="AS23" s="184" t="s">
        <v>2491</v>
      </c>
      <c r="AT23" s="184" t="str">
        <f t="shared" si="0"/>
        <v>旧処遇改善加算なし特定加算なしベア加算なし</v>
      </c>
      <c r="AU23" s="184" t="s">
        <v>2494</v>
      </c>
      <c r="AV23" s="185" t="s">
        <v>384</v>
      </c>
      <c r="AW23" s="185" t="s">
        <v>391</v>
      </c>
      <c r="AX23" s="185" t="s">
        <v>392</v>
      </c>
      <c r="AY23" s="185" t="s">
        <v>393</v>
      </c>
      <c r="AZ23" s="186"/>
      <c r="BB23" s="131" t="s">
        <v>637</v>
      </c>
      <c r="BC23" s="180" t="s">
        <v>2497</v>
      </c>
    </row>
    <row r="24" spans="1:55">
      <c r="A24" s="154" t="s">
        <v>121</v>
      </c>
      <c r="B24" s="190"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7">
        <v>5.6000000000000001E-2</v>
      </c>
      <c r="AD24" s="87">
        <v>0</v>
      </c>
      <c r="AE24" s="192">
        <v>1.4999999999999999E-2</v>
      </c>
      <c r="AF24" s="162"/>
      <c r="AG24" s="128" t="s">
        <v>640</v>
      </c>
      <c r="AH24" s="159" t="s">
        <v>100</v>
      </c>
      <c r="AI24" s="123" t="s">
        <v>397</v>
      </c>
      <c r="AJ24" s="78" t="s">
        <v>395</v>
      </c>
      <c r="AK24" s="79"/>
      <c r="BB24" s="131" t="s">
        <v>640</v>
      </c>
      <c r="BC24" s="180" t="s">
        <v>2497</v>
      </c>
    </row>
    <row r="25" spans="1:55">
      <c r="A25" s="154" t="s">
        <v>125</v>
      </c>
      <c r="B25" s="190"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7">
        <v>5.6000000000000001E-2</v>
      </c>
      <c r="AD25" s="87">
        <v>0</v>
      </c>
      <c r="AE25" s="192">
        <v>1.4999999999999999E-2</v>
      </c>
      <c r="AF25" s="162"/>
      <c r="AG25" s="128" t="s">
        <v>643</v>
      </c>
      <c r="AH25" s="159" t="s">
        <v>104</v>
      </c>
      <c r="AI25" s="123" t="s">
        <v>397</v>
      </c>
      <c r="AJ25" s="78" t="s">
        <v>395</v>
      </c>
      <c r="AK25" s="79"/>
      <c r="BB25" s="131" t="s">
        <v>643</v>
      </c>
      <c r="BC25" s="180" t="s">
        <v>2478</v>
      </c>
    </row>
    <row r="26" spans="1:55" ht="24">
      <c r="A26" s="154" t="s">
        <v>128</v>
      </c>
      <c r="B26" s="190"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7">
        <v>5.6000000000000001E-2</v>
      </c>
      <c r="AD26" s="87">
        <v>0</v>
      </c>
      <c r="AE26" s="192">
        <v>1.4999999999999999E-2</v>
      </c>
      <c r="AF26" s="162"/>
      <c r="AG26" s="128" t="s">
        <v>646</v>
      </c>
      <c r="AH26" s="159" t="s">
        <v>107</v>
      </c>
      <c r="AI26" s="123" t="s">
        <v>397</v>
      </c>
      <c r="AJ26" s="78" t="s">
        <v>395</v>
      </c>
      <c r="AK26" s="79"/>
      <c r="BB26" s="131" t="s">
        <v>646</v>
      </c>
      <c r="BC26" s="180" t="s">
        <v>2497</v>
      </c>
    </row>
    <row r="27" spans="1:55">
      <c r="A27" s="154" t="s">
        <v>132</v>
      </c>
      <c r="B27" s="190"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7">
        <v>6.6000000000000003E-2</v>
      </c>
      <c r="AD27" s="87">
        <v>0</v>
      </c>
      <c r="AE27" s="192">
        <v>2.1000000000000001E-2</v>
      </c>
      <c r="AF27" s="162"/>
      <c r="AG27" s="128" t="s">
        <v>649</v>
      </c>
      <c r="AH27" s="159" t="s">
        <v>111</v>
      </c>
      <c r="AI27" s="123" t="s">
        <v>397</v>
      </c>
      <c r="AJ27" s="78" t="s">
        <v>395</v>
      </c>
      <c r="AK27" s="79"/>
      <c r="BB27" s="131" t="s">
        <v>649</v>
      </c>
      <c r="BC27" s="180" t="s">
        <v>2478</v>
      </c>
    </row>
    <row r="28" spans="1:55">
      <c r="A28" s="154" t="s">
        <v>135</v>
      </c>
      <c r="B28" s="190"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7">
        <v>6.6000000000000003E-2</v>
      </c>
      <c r="AD28" s="87">
        <v>0</v>
      </c>
      <c r="AE28" s="192">
        <v>2.1000000000000001E-2</v>
      </c>
      <c r="AF28" s="162"/>
      <c r="AG28" s="128" t="s">
        <v>653</v>
      </c>
      <c r="AH28" s="159" t="s">
        <v>114</v>
      </c>
      <c r="AI28" s="123" t="s">
        <v>397</v>
      </c>
      <c r="AJ28" s="78" t="s">
        <v>395</v>
      </c>
      <c r="AK28" s="79"/>
      <c r="BB28" s="131" t="s">
        <v>653</v>
      </c>
      <c r="BC28" s="180" t="s">
        <v>2497</v>
      </c>
    </row>
    <row r="29" spans="1:55">
      <c r="A29" s="154" t="s">
        <v>139</v>
      </c>
      <c r="B29" s="190"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7">
        <v>6.6000000000000003E-2</v>
      </c>
      <c r="AD29" s="87">
        <v>0</v>
      </c>
      <c r="AE29" s="192">
        <v>2.1000000000000001E-2</v>
      </c>
      <c r="AF29" s="162"/>
      <c r="AG29" s="128" t="s">
        <v>2501</v>
      </c>
      <c r="AH29" s="159" t="s">
        <v>117</v>
      </c>
      <c r="AI29" s="123" t="s">
        <v>397</v>
      </c>
      <c r="AJ29" s="78" t="s">
        <v>395</v>
      </c>
      <c r="AK29" s="79"/>
      <c r="BB29" s="131" t="s">
        <v>2501</v>
      </c>
      <c r="BC29" s="180" t="s">
        <v>2497</v>
      </c>
    </row>
    <row r="30" spans="1:55">
      <c r="A30" s="154" t="s">
        <v>142</v>
      </c>
      <c r="B30" s="190"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7">
        <v>6.6000000000000003E-2</v>
      </c>
      <c r="AD30" s="87">
        <v>0</v>
      </c>
      <c r="AE30" s="192">
        <v>2.1000000000000001E-2</v>
      </c>
      <c r="AF30" s="162"/>
      <c r="AG30" s="128" t="s">
        <v>2502</v>
      </c>
      <c r="AH30" s="159" t="s">
        <v>120</v>
      </c>
      <c r="AI30" s="123" t="s">
        <v>397</v>
      </c>
      <c r="AJ30" s="78" t="s">
        <v>395</v>
      </c>
      <c r="AK30" s="79"/>
      <c r="BB30" s="131" t="s">
        <v>2502</v>
      </c>
      <c r="BC30" s="180" t="s">
        <v>2503</v>
      </c>
    </row>
    <row r="31" spans="1:55">
      <c r="A31" s="154" t="s">
        <v>146</v>
      </c>
      <c r="B31" s="190"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7">
        <v>4.7E-2</v>
      </c>
      <c r="AD31" s="87">
        <v>0</v>
      </c>
      <c r="AE31" s="192">
        <v>1.4E-2</v>
      </c>
      <c r="AF31" s="162"/>
      <c r="AG31" s="7" t="s">
        <v>146</v>
      </c>
      <c r="AH31" s="159" t="s">
        <v>660</v>
      </c>
      <c r="AI31" s="123" t="s">
        <v>397</v>
      </c>
      <c r="AJ31" s="78" t="s">
        <v>395</v>
      </c>
      <c r="AK31" s="80" t="s">
        <v>2504</v>
      </c>
      <c r="BB31" s="160" t="s">
        <v>146</v>
      </c>
      <c r="BC31" s="180" t="s">
        <v>2478</v>
      </c>
    </row>
    <row r="32" spans="1:55">
      <c r="A32" s="154" t="s">
        <v>149</v>
      </c>
      <c r="B32" s="190"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7">
        <v>4.7E-2</v>
      </c>
      <c r="AD32" s="87">
        <v>0</v>
      </c>
      <c r="AE32" s="192">
        <v>1.4E-2</v>
      </c>
      <c r="AF32" s="162"/>
      <c r="AG32" s="128" t="s">
        <v>667</v>
      </c>
      <c r="AH32" s="159" t="s">
        <v>664</v>
      </c>
      <c r="AI32" s="123" t="s">
        <v>397</v>
      </c>
      <c r="AJ32" s="78" t="s">
        <v>395</v>
      </c>
      <c r="AK32" s="80" t="s">
        <v>2504</v>
      </c>
      <c r="BB32" s="131" t="s">
        <v>667</v>
      </c>
      <c r="BC32" s="180" t="s">
        <v>2478</v>
      </c>
    </row>
    <row r="33" spans="1:55" ht="24">
      <c r="A33" s="154" t="s">
        <v>123</v>
      </c>
      <c r="B33" s="190"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7">
        <v>4.7E-2</v>
      </c>
      <c r="AD33" s="87">
        <v>0</v>
      </c>
      <c r="AE33" s="192">
        <v>1.4E-2</v>
      </c>
      <c r="AF33" s="162"/>
      <c r="AG33" s="128" t="s">
        <v>670</v>
      </c>
      <c r="AH33" s="159" t="s">
        <v>124</v>
      </c>
      <c r="AI33" s="123" t="s">
        <v>397</v>
      </c>
      <c r="AJ33" s="78" t="s">
        <v>395</v>
      </c>
      <c r="AK33" s="80" t="s">
        <v>2505</v>
      </c>
      <c r="BB33" s="131" t="s">
        <v>670</v>
      </c>
      <c r="BC33" s="180" t="s">
        <v>2497</v>
      </c>
    </row>
    <row r="34" spans="1:55" ht="24">
      <c r="A34" s="154" t="s">
        <v>155</v>
      </c>
      <c r="B34" s="190"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7">
        <v>4.7E-2</v>
      </c>
      <c r="AD34" s="87">
        <v>0</v>
      </c>
      <c r="AE34" s="192">
        <v>1.4E-2</v>
      </c>
      <c r="AF34" s="162"/>
      <c r="AG34" s="128" t="s">
        <v>674</v>
      </c>
      <c r="AH34" s="159" t="s">
        <v>127</v>
      </c>
      <c r="AI34" s="123" t="s">
        <v>397</v>
      </c>
      <c r="AJ34" s="78" t="s">
        <v>395</v>
      </c>
      <c r="AK34" s="80" t="s">
        <v>2505</v>
      </c>
      <c r="BB34" s="131" t="s">
        <v>674</v>
      </c>
      <c r="BC34" s="180" t="s">
        <v>2497</v>
      </c>
    </row>
    <row r="35" spans="1:55">
      <c r="A35" s="154" t="s">
        <v>159</v>
      </c>
      <c r="B35" s="190"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7">
        <v>2.3E-2</v>
      </c>
      <c r="AD35" s="87">
        <v>0</v>
      </c>
      <c r="AE35" s="192">
        <v>7.0000000000000001E-3</v>
      </c>
      <c r="AF35" s="162"/>
      <c r="AG35" s="7" t="s">
        <v>159</v>
      </c>
      <c r="AH35" s="159" t="s">
        <v>675</v>
      </c>
      <c r="AI35" s="123" t="s">
        <v>397</v>
      </c>
      <c r="AJ35" s="78" t="s">
        <v>395</v>
      </c>
      <c r="AK35" s="79"/>
      <c r="BB35" s="160" t="s">
        <v>159</v>
      </c>
      <c r="BC35" s="180" t="s">
        <v>2478</v>
      </c>
    </row>
    <row r="36" spans="1:55" ht="24">
      <c r="A36" s="154" t="s">
        <v>162</v>
      </c>
      <c r="B36" s="190"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7">
        <v>2.3E-2</v>
      </c>
      <c r="AD36" s="87">
        <v>0</v>
      </c>
      <c r="AE36" s="192">
        <v>7.0000000000000001E-3</v>
      </c>
      <c r="AF36" s="162"/>
      <c r="AG36" s="128" t="s">
        <v>681</v>
      </c>
      <c r="AH36" s="159" t="s">
        <v>131</v>
      </c>
      <c r="AI36" s="123" t="s">
        <v>397</v>
      </c>
      <c r="AJ36" s="78" t="s">
        <v>395</v>
      </c>
      <c r="AK36" s="80" t="s">
        <v>2506</v>
      </c>
      <c r="BB36" s="131" t="s">
        <v>681</v>
      </c>
      <c r="BC36" s="180" t="s">
        <v>2497</v>
      </c>
    </row>
    <row r="37" spans="1:55" ht="24">
      <c r="A37" s="154" t="s">
        <v>163</v>
      </c>
      <c r="B37" s="190"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7">
        <v>2.3E-2</v>
      </c>
      <c r="AD37" s="87">
        <v>0</v>
      </c>
      <c r="AE37" s="192">
        <v>7.0000000000000001E-3</v>
      </c>
      <c r="AF37" s="162"/>
      <c r="AG37" s="128" t="s">
        <v>684</v>
      </c>
      <c r="AH37" s="159" t="s">
        <v>134</v>
      </c>
      <c r="AI37" s="123" t="s">
        <v>397</v>
      </c>
      <c r="AJ37" s="78" t="s">
        <v>395</v>
      </c>
      <c r="AK37" s="80" t="s">
        <v>2506</v>
      </c>
      <c r="BB37" s="131" t="s">
        <v>684</v>
      </c>
      <c r="BC37" s="180" t="s">
        <v>2503</v>
      </c>
    </row>
    <row r="38" spans="1:55">
      <c r="A38" s="154" t="s">
        <v>137</v>
      </c>
      <c r="B38" s="190"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7">
        <v>1.4999999999999999E-2</v>
      </c>
      <c r="AD38" s="87">
        <v>0</v>
      </c>
      <c r="AE38" s="192">
        <v>5.0000000000000001E-3</v>
      </c>
      <c r="AF38" s="162"/>
      <c r="AG38" s="128" t="s">
        <v>687</v>
      </c>
      <c r="AH38" s="159" t="s">
        <v>138</v>
      </c>
      <c r="AI38" s="123" t="s">
        <v>397</v>
      </c>
      <c r="AJ38" s="78" t="s">
        <v>395</v>
      </c>
      <c r="AK38" s="80"/>
      <c r="BB38" s="131" t="s">
        <v>687</v>
      </c>
      <c r="BC38" s="180" t="s">
        <v>2497</v>
      </c>
    </row>
    <row r="39" spans="1:55">
      <c r="A39" s="154" t="s">
        <v>164</v>
      </c>
      <c r="B39" s="190"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7">
        <v>1.4999999999999999E-2</v>
      </c>
      <c r="AD39" s="87">
        <v>0</v>
      </c>
      <c r="AE39" s="192">
        <v>5.0000000000000001E-3</v>
      </c>
      <c r="AF39" s="162"/>
      <c r="AG39" s="128" t="s">
        <v>690</v>
      </c>
      <c r="AH39" s="159" t="s">
        <v>141</v>
      </c>
      <c r="AI39" s="123" t="s">
        <v>397</v>
      </c>
      <c r="AJ39" s="78" t="s">
        <v>395</v>
      </c>
      <c r="AK39" s="80"/>
      <c r="BB39" s="131" t="s">
        <v>690</v>
      </c>
      <c r="BC39" s="180" t="s">
        <v>2503</v>
      </c>
    </row>
    <row r="40" spans="1:55">
      <c r="A40" s="154" t="s">
        <v>165</v>
      </c>
      <c r="B40" s="190"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7">
        <v>1.4999999999999999E-2</v>
      </c>
      <c r="AD40" s="87">
        <v>0</v>
      </c>
      <c r="AE40" s="192">
        <v>5.0000000000000001E-3</v>
      </c>
      <c r="AF40" s="162"/>
      <c r="AG40" s="7" t="s">
        <v>165</v>
      </c>
      <c r="AH40" s="159" t="s">
        <v>691</v>
      </c>
      <c r="AI40" s="123" t="s">
        <v>397</v>
      </c>
      <c r="AJ40" s="78" t="s">
        <v>395</v>
      </c>
      <c r="AK40" s="79"/>
      <c r="BB40" s="160" t="s">
        <v>165</v>
      </c>
      <c r="BC40" s="180" t="s">
        <v>2478</v>
      </c>
    </row>
    <row r="41" spans="1:55" ht="24">
      <c r="A41" s="154" t="s">
        <v>166</v>
      </c>
      <c r="B41" s="190"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7">
        <v>1.4999999999999999E-2</v>
      </c>
      <c r="AD41" s="87">
        <v>0</v>
      </c>
      <c r="AE41" s="192">
        <v>5.0000000000000001E-3</v>
      </c>
      <c r="AF41" s="162"/>
      <c r="AG41" s="128" t="s">
        <v>697</v>
      </c>
      <c r="AH41" s="159" t="s">
        <v>145</v>
      </c>
      <c r="AI41" s="123" t="s">
        <v>397</v>
      </c>
      <c r="AJ41" s="78" t="s">
        <v>395</v>
      </c>
      <c r="AK41" s="80" t="s">
        <v>2505</v>
      </c>
      <c r="BB41" s="131" t="s">
        <v>697</v>
      </c>
      <c r="BC41" s="180" t="s">
        <v>2497</v>
      </c>
    </row>
    <row r="42" spans="1:55" ht="24">
      <c r="A42" s="154" t="s">
        <v>167</v>
      </c>
      <c r="B42" s="190"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7">
        <v>1.4999999999999999E-2</v>
      </c>
      <c r="AD42" s="87">
        <v>0</v>
      </c>
      <c r="AE42" s="192">
        <v>5.0000000000000001E-3</v>
      </c>
      <c r="AG42" s="128" t="s">
        <v>700</v>
      </c>
      <c r="AH42" s="159" t="s">
        <v>148</v>
      </c>
      <c r="AI42" s="123" t="s">
        <v>397</v>
      </c>
      <c r="AJ42" s="78" t="s">
        <v>395</v>
      </c>
      <c r="AK42" s="80" t="s">
        <v>2505</v>
      </c>
      <c r="BB42" s="131" t="s">
        <v>700</v>
      </c>
      <c r="BC42" s="180" t="s">
        <v>2497</v>
      </c>
    </row>
    <row r="43" spans="1:55" ht="24">
      <c r="A43" s="154" t="s">
        <v>168</v>
      </c>
      <c r="B43" s="190"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7">
        <v>7.5999999999999998E-2</v>
      </c>
      <c r="AD43" s="87">
        <v>0</v>
      </c>
      <c r="AE43" s="192">
        <v>2.1000000000000001E-2</v>
      </c>
      <c r="AG43" s="3" t="s">
        <v>2507</v>
      </c>
      <c r="AH43" s="159" t="s">
        <v>701</v>
      </c>
      <c r="AI43" s="124" t="s">
        <v>411</v>
      </c>
      <c r="AJ43" s="118" t="s">
        <v>2508</v>
      </c>
      <c r="AK43" s="79"/>
      <c r="BB43" s="23" t="s">
        <v>2507</v>
      </c>
      <c r="BC43" s="180" t="s">
        <v>2497</v>
      </c>
    </row>
    <row r="44" spans="1:55" ht="24">
      <c r="A44" s="154" t="s">
        <v>169</v>
      </c>
      <c r="B44" s="190"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7">
        <v>7.5999999999999998E-2</v>
      </c>
      <c r="AD44" s="87">
        <v>0</v>
      </c>
      <c r="AE44" s="192">
        <v>2.1000000000000001E-2</v>
      </c>
      <c r="AG44" s="3" t="s">
        <v>2509</v>
      </c>
      <c r="AH44" s="159" t="s">
        <v>152</v>
      </c>
      <c r="AI44" s="124" t="s">
        <v>411</v>
      </c>
      <c r="AJ44" s="118" t="s">
        <v>2508</v>
      </c>
      <c r="AK44" s="79"/>
      <c r="BB44" s="23" t="s">
        <v>2509</v>
      </c>
      <c r="BC44" s="180" t="s">
        <v>2497</v>
      </c>
    </row>
    <row r="45" spans="1:55" ht="24">
      <c r="A45" s="154" t="s">
        <v>170</v>
      </c>
      <c r="B45" s="190"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7">
        <v>7.5999999999999998E-2</v>
      </c>
      <c r="AD45" s="87">
        <v>0</v>
      </c>
      <c r="AE45" s="192">
        <v>2.1000000000000001E-2</v>
      </c>
      <c r="AG45" s="3" t="s">
        <v>2510</v>
      </c>
      <c r="AH45" s="159" t="s">
        <v>154</v>
      </c>
      <c r="AI45" s="124" t="s">
        <v>411</v>
      </c>
      <c r="AJ45" s="118" t="s">
        <v>2508</v>
      </c>
      <c r="AK45" s="79"/>
      <c r="BB45" s="23" t="s">
        <v>2510</v>
      </c>
      <c r="BC45" s="180" t="s">
        <v>2497</v>
      </c>
    </row>
    <row r="46" spans="1:55" ht="24">
      <c r="A46" s="154" t="s">
        <v>171</v>
      </c>
      <c r="B46" s="190"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7">
        <v>3.3000000000000002E-2</v>
      </c>
      <c r="AD46" s="87">
        <v>0</v>
      </c>
      <c r="AE46" s="192">
        <v>0.01</v>
      </c>
      <c r="AG46" s="3" t="s">
        <v>2511</v>
      </c>
      <c r="AH46" s="159" t="s">
        <v>708</v>
      </c>
      <c r="AI46" s="125" t="s">
        <v>412</v>
      </c>
      <c r="AJ46" s="118" t="s">
        <v>2512</v>
      </c>
      <c r="AK46" s="119" t="s">
        <v>2513</v>
      </c>
      <c r="BB46" s="23" t="s">
        <v>2511</v>
      </c>
      <c r="BC46" s="180" t="s">
        <v>2497</v>
      </c>
    </row>
    <row r="47" spans="1:55" ht="24">
      <c r="A47" s="154" t="s">
        <v>172</v>
      </c>
      <c r="B47" s="190"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7">
        <v>3.3000000000000002E-2</v>
      </c>
      <c r="AD47" s="87">
        <v>0</v>
      </c>
      <c r="AE47" s="192">
        <v>0.01</v>
      </c>
      <c r="AG47" s="3" t="s">
        <v>2514</v>
      </c>
      <c r="AH47" s="159" t="s">
        <v>158</v>
      </c>
      <c r="AI47" s="125" t="s">
        <v>412</v>
      </c>
      <c r="AJ47" s="118" t="s">
        <v>2512</v>
      </c>
      <c r="AK47" s="119" t="s">
        <v>2513</v>
      </c>
      <c r="BB47" s="23" t="s">
        <v>2514</v>
      </c>
      <c r="BC47" s="180" t="s">
        <v>2497</v>
      </c>
    </row>
    <row r="48" spans="1:55" ht="24.6" thickBot="1">
      <c r="A48" s="156" t="s">
        <v>173</v>
      </c>
      <c r="B48" s="191"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8">
        <v>3.3000000000000002E-2</v>
      </c>
      <c r="AD48" s="87">
        <v>0</v>
      </c>
      <c r="AE48" s="193">
        <v>0.01</v>
      </c>
      <c r="AG48" s="4" t="s">
        <v>2515</v>
      </c>
      <c r="AH48" s="161" t="s">
        <v>161</v>
      </c>
      <c r="AI48" s="126" t="s">
        <v>412</v>
      </c>
      <c r="AJ48" s="89" t="s">
        <v>2512</v>
      </c>
      <c r="AK48" s="90" t="s">
        <v>2516</v>
      </c>
      <c r="BB48" s="132" t="s">
        <v>2515</v>
      </c>
      <c r="BC48" s="187" t="s">
        <v>2497</v>
      </c>
    </row>
    <row r="49" spans="33:34">
      <c r="AG49" s="188"/>
    </row>
    <row r="50" spans="33:34">
      <c r="AG50" s="714" t="s">
        <v>2517</v>
      </c>
      <c r="AH50" s="714"/>
    </row>
    <row r="51" spans="33:34">
      <c r="AG51" s="1432" t="s">
        <v>2518</v>
      </c>
      <c r="AH51" s="1432"/>
    </row>
    <row r="52" spans="33:34">
      <c r="AG52" s="1432"/>
      <c r="AH52" s="143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2025-03-16T13:40:12Z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